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oostsantos/Desktop/Undergraduate Advising/Curriculum Sheet/Curriculum Sheet - Official/"/>
    </mc:Choice>
  </mc:AlternateContent>
  <xr:revisionPtr revIDLastSave="0" documentId="13_ncr:1_{2E9CED71-DFC0-F342-9366-C366D800601D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New SE" sheetId="14" r:id="rId1"/>
  </sheets>
  <definedNames>
    <definedName name="_ftn1" localSheetId="0">'New SE'!$C$190</definedName>
    <definedName name="_ftnref1" localSheetId="0">'New SE'!$C$175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8" i="14" l="1"/>
  <c r="W12" i="14"/>
  <c r="W11" i="14"/>
  <c r="V11" i="14"/>
  <c r="V37" i="14"/>
  <c r="W37" i="14"/>
  <c r="W38" i="14"/>
  <c r="V25" i="14"/>
  <c r="W25" i="14"/>
  <c r="J25" i="14" s="1"/>
  <c r="V26" i="14"/>
  <c r="W26" i="14"/>
  <c r="J26" i="14" s="1"/>
  <c r="O11" i="14"/>
  <c r="P11" i="14"/>
  <c r="D38" i="14" l="1"/>
  <c r="E38" i="14"/>
  <c r="V17" i="14" l="1"/>
  <c r="V12" i="14" l="1"/>
  <c r="V23" i="14" l="1"/>
  <c r="V16" i="14"/>
  <c r="P54" i="14" l="1"/>
  <c r="T54" i="14" s="1"/>
  <c r="Q54" i="14" s="1"/>
  <c r="P53" i="14"/>
  <c r="P51" i="14"/>
  <c r="P50" i="14"/>
  <c r="P49" i="14"/>
  <c r="P48" i="14"/>
  <c r="P47" i="14"/>
  <c r="P46" i="14"/>
  <c r="P45" i="14"/>
  <c r="P44" i="14"/>
  <c r="R54" i="14" l="1"/>
  <c r="W45" i="14" l="1"/>
  <c r="W46" i="14"/>
  <c r="W47" i="14"/>
  <c r="W48" i="14"/>
  <c r="W49" i="14"/>
  <c r="V47" i="14"/>
  <c r="V48" i="14"/>
  <c r="V49" i="14"/>
  <c r="P52" i="14" l="1"/>
  <c r="T53" i="14" l="1"/>
  <c r="Q53" i="14" s="1"/>
  <c r="T52" i="14"/>
  <c r="Q52" i="14" s="1"/>
  <c r="T51" i="14"/>
  <c r="R51" i="14" s="1"/>
  <c r="T50" i="14"/>
  <c r="R50" i="14" s="1"/>
  <c r="Q50" i="14" l="1"/>
  <c r="R52" i="14"/>
  <c r="Q51" i="14"/>
  <c r="R53" i="14"/>
  <c r="D2" i="14"/>
  <c r="T45" i="14"/>
  <c r="T46" i="14"/>
  <c r="T47" i="14"/>
  <c r="T48" i="14"/>
  <c r="T49" i="14"/>
  <c r="T44" i="14"/>
  <c r="W50" i="14"/>
  <c r="N50" i="14" s="1"/>
  <c r="V50" i="14"/>
  <c r="G50" i="14" s="1"/>
  <c r="N49" i="14"/>
  <c r="G49" i="14"/>
  <c r="V46" i="14"/>
  <c r="V45" i="14"/>
  <c r="W44" i="14"/>
  <c r="V44" i="14"/>
  <c r="W39" i="14"/>
  <c r="N39" i="14" s="1"/>
  <c r="V39" i="14"/>
  <c r="G39" i="14" s="1"/>
  <c r="W36" i="14"/>
  <c r="V36" i="14"/>
  <c r="W35" i="14"/>
  <c r="V35" i="14"/>
  <c r="W34" i="14"/>
  <c r="V34" i="14"/>
  <c r="W33" i="14"/>
  <c r="V33" i="14"/>
  <c r="W28" i="14"/>
  <c r="V28" i="14"/>
  <c r="W27" i="14"/>
  <c r="V27" i="14"/>
  <c r="W24" i="14"/>
  <c r="J24" i="14" s="1"/>
  <c r="V24" i="14"/>
  <c r="W23" i="14"/>
  <c r="W22" i="14"/>
  <c r="V22" i="14"/>
  <c r="W17" i="14"/>
  <c r="W16" i="14"/>
  <c r="C16" i="14"/>
  <c r="W15" i="14"/>
  <c r="V15" i="14"/>
  <c r="W14" i="14"/>
  <c r="V14" i="14"/>
  <c r="W13" i="14"/>
  <c r="V13" i="14"/>
  <c r="A16" i="14" l="1"/>
  <c r="L50" i="14"/>
  <c r="K50" i="14"/>
  <c r="J50" i="14"/>
  <c r="L49" i="14"/>
  <c r="K49" i="14"/>
  <c r="J49" i="14"/>
  <c r="L48" i="14"/>
  <c r="K48" i="14"/>
  <c r="J48" i="14"/>
  <c r="L47" i="14"/>
  <c r="K47" i="14"/>
  <c r="J47" i="14"/>
  <c r="L46" i="14"/>
  <c r="K46" i="14"/>
  <c r="J46" i="14"/>
  <c r="K45" i="14"/>
  <c r="J45" i="14"/>
  <c r="L44" i="14"/>
  <c r="K44" i="14"/>
  <c r="J44" i="14"/>
  <c r="L39" i="14"/>
  <c r="K39" i="14"/>
  <c r="J39" i="14"/>
  <c r="K38" i="14"/>
  <c r="J38" i="14"/>
  <c r="L37" i="14"/>
  <c r="K37" i="14"/>
  <c r="J37" i="14"/>
  <c r="K36" i="14"/>
  <c r="J36" i="14"/>
  <c r="K35" i="14"/>
  <c r="J35" i="14"/>
  <c r="K34" i="14"/>
  <c r="J34" i="14"/>
  <c r="K33" i="14"/>
  <c r="J33" i="14"/>
  <c r="L28" i="14"/>
  <c r="K28" i="14"/>
  <c r="J28" i="14"/>
  <c r="L27" i="14"/>
  <c r="K27" i="14"/>
  <c r="J27" i="14"/>
  <c r="L26" i="14"/>
  <c r="K26" i="14"/>
  <c r="L25" i="14"/>
  <c r="K25" i="14"/>
  <c r="K24" i="14"/>
  <c r="L23" i="14"/>
  <c r="K23" i="14"/>
  <c r="J23" i="14"/>
  <c r="L22" i="14"/>
  <c r="K22" i="14"/>
  <c r="J22" i="14"/>
  <c r="L17" i="14"/>
  <c r="K17" i="14"/>
  <c r="J17" i="14"/>
  <c r="L16" i="14"/>
  <c r="K16" i="14"/>
  <c r="J16" i="14"/>
  <c r="K15" i="14"/>
  <c r="J15" i="14"/>
  <c r="K14" i="14"/>
  <c r="J14" i="14"/>
  <c r="L13" i="14"/>
  <c r="K13" i="14"/>
  <c r="J13" i="14"/>
  <c r="K12" i="14"/>
  <c r="J12" i="14"/>
  <c r="K11" i="14"/>
  <c r="J11" i="14"/>
  <c r="E50" i="14"/>
  <c r="D50" i="14"/>
  <c r="C50" i="14"/>
  <c r="E49" i="14"/>
  <c r="D49" i="14"/>
  <c r="C49" i="14"/>
  <c r="E48" i="14"/>
  <c r="D48" i="14"/>
  <c r="C48" i="14"/>
  <c r="E47" i="14"/>
  <c r="D47" i="14"/>
  <c r="C47" i="14"/>
  <c r="E46" i="14"/>
  <c r="D46" i="14"/>
  <c r="C46" i="14"/>
  <c r="E45" i="14"/>
  <c r="D45" i="14"/>
  <c r="C45" i="14"/>
  <c r="E44" i="14"/>
  <c r="D44" i="14"/>
  <c r="C44" i="14"/>
  <c r="E39" i="14"/>
  <c r="D39" i="14"/>
  <c r="C39" i="14"/>
  <c r="E37" i="14"/>
  <c r="D37" i="14"/>
  <c r="C37" i="14"/>
  <c r="D36" i="14"/>
  <c r="C36" i="14"/>
  <c r="D35" i="14"/>
  <c r="C35" i="14"/>
  <c r="D34" i="14"/>
  <c r="C34" i="14"/>
  <c r="D33" i="14"/>
  <c r="C33" i="14"/>
  <c r="E28" i="14"/>
  <c r="D28" i="14"/>
  <c r="C28" i="14"/>
  <c r="E27" i="14"/>
  <c r="D27" i="14"/>
  <c r="C27" i="14"/>
  <c r="D26" i="14"/>
  <c r="C26" i="14"/>
  <c r="D25" i="14"/>
  <c r="C25" i="14"/>
  <c r="D24" i="14"/>
  <c r="C24" i="14"/>
  <c r="D23" i="14"/>
  <c r="C23" i="14"/>
  <c r="D22" i="14"/>
  <c r="C22" i="14"/>
  <c r="C12" i="14"/>
  <c r="D12" i="14"/>
  <c r="C13" i="14"/>
  <c r="D13" i="14"/>
  <c r="C14" i="14"/>
  <c r="D14" i="14"/>
  <c r="C15" i="14"/>
  <c r="D15" i="14"/>
  <c r="D16" i="14"/>
  <c r="C17" i="14"/>
  <c r="A17" i="14" s="1"/>
  <c r="D17" i="14"/>
  <c r="E17" i="14"/>
  <c r="D11" i="14"/>
  <c r="C11" i="14"/>
  <c r="R49" i="14"/>
  <c r="Q49" i="14"/>
  <c r="R48" i="14"/>
  <c r="Q48" i="14"/>
  <c r="R47" i="14"/>
  <c r="Q47" i="14"/>
  <c r="R46" i="14"/>
  <c r="Q46" i="14"/>
  <c r="R45" i="14"/>
  <c r="Q45" i="14"/>
  <c r="R44" i="14"/>
  <c r="Q44" i="14"/>
  <c r="W53" i="14" l="1"/>
  <c r="W54" i="14" s="1"/>
  <c r="W55" i="14" s="1"/>
  <c r="W56" i="14" s="1"/>
  <c r="W57" i="14" s="1"/>
  <c r="W58" i="14" s="1"/>
  <c r="W59" i="14" s="1"/>
  <c r="W60" i="14" s="1"/>
  <c r="W61" i="14" s="1"/>
  <c r="W62" i="14" s="1"/>
  <c r="W63" i="14" s="1"/>
  <c r="W64" i="14" s="1"/>
  <c r="W65" i="14" s="1"/>
  <c r="W66" i="14" s="1"/>
  <c r="W67" i="14" s="1"/>
  <c r="W68" i="14" s="1"/>
  <c r="W69" i="14" s="1"/>
  <c r="W70" i="14" s="1"/>
  <c r="W71" i="14" s="1"/>
  <c r="W72" i="14" s="1"/>
  <c r="W73" i="14" s="1"/>
  <c r="W74" i="14" s="1"/>
  <c r="W75" i="14" s="1"/>
  <c r="W76" i="14" s="1"/>
  <c r="W77" i="14" s="1"/>
  <c r="W78" i="14" s="1"/>
  <c r="W79" i="14" s="1"/>
  <c r="W80" i="14" s="1"/>
  <c r="W81" i="14" s="1"/>
  <c r="W82" i="14" s="1"/>
  <c r="W83" i="14" s="1"/>
  <c r="W84" i="14" s="1"/>
  <c r="W85" i="14" s="1"/>
  <c r="W86" i="14" s="1"/>
  <c r="W87" i="14" s="1"/>
  <c r="W88" i="14" s="1"/>
  <c r="W89" i="14" s="1"/>
  <c r="W90" i="14" s="1"/>
  <c r="W91" i="14" s="1"/>
  <c r="W92" i="14" s="1"/>
  <c r="W93" i="14" s="1"/>
  <c r="W94" i="14" s="1"/>
  <c r="W95" i="14" s="1"/>
  <c r="W96" i="14" s="1"/>
  <c r="W97" i="14" s="1"/>
  <c r="W98" i="14" s="1"/>
  <c r="W99" i="14" s="1"/>
  <c r="W100" i="14" s="1"/>
  <c r="W101" i="14" s="1"/>
  <c r="Z12" i="14" l="1"/>
  <c r="F33" i="14"/>
  <c r="F47" i="14"/>
  <c r="Z6" i="14"/>
  <c r="Z4" i="14"/>
  <c r="Z3" i="14"/>
  <c r="S3" i="14"/>
  <c r="S58" i="14" s="1"/>
  <c r="E9" i="14"/>
  <c r="AE22" i="14"/>
  <c r="AE23" i="14"/>
  <c r="AE24" i="14"/>
  <c r="AE25" i="14"/>
  <c r="AE26" i="14"/>
  <c r="AE27" i="14"/>
  <c r="AE28" i="14"/>
  <c r="AE29" i="14"/>
  <c r="AE30" i="14"/>
  <c r="AE31" i="14"/>
  <c r="AE32" i="14"/>
  <c r="AE21" i="14"/>
  <c r="B93" i="14"/>
  <c r="B98" i="14" s="1"/>
  <c r="E14" i="14" s="1"/>
  <c r="C8" i="14"/>
  <c r="J8" i="14" s="1"/>
  <c r="C19" i="14" s="1"/>
  <c r="J19" i="14" s="1"/>
  <c r="C30" i="14" s="1"/>
  <c r="J30" i="14" s="1"/>
  <c r="C41" i="14" s="1"/>
  <c r="J41" i="14" s="1"/>
  <c r="F25" i="14"/>
  <c r="D128" i="14"/>
  <c r="D135" i="14"/>
  <c r="D142" i="14"/>
  <c r="B74" i="14" s="1"/>
  <c r="D146" i="14"/>
  <c r="J146" i="14" s="1"/>
  <c r="D153" i="14"/>
  <c r="J153" i="14" s="1"/>
  <c r="D160" i="14"/>
  <c r="J160" i="14" s="1"/>
  <c r="D164" i="14"/>
  <c r="J164" i="14" s="1"/>
  <c r="I111" i="14"/>
  <c r="R110" i="14"/>
  <c r="S110" i="14" s="1"/>
  <c r="R117" i="14"/>
  <c r="S117" i="14" s="1"/>
  <c r="R124" i="14"/>
  <c r="S124" i="14" s="1"/>
  <c r="R128" i="14"/>
  <c r="S128" i="14" s="1"/>
  <c r="R135" i="14"/>
  <c r="S135" i="14" s="1"/>
  <c r="R142" i="14"/>
  <c r="S142" i="14" s="1"/>
  <c r="R146" i="14"/>
  <c r="S146" i="14" s="1"/>
  <c r="R153" i="14"/>
  <c r="S153" i="14" s="1"/>
  <c r="R160" i="14"/>
  <c r="S160" i="14" s="1"/>
  <c r="R164" i="14"/>
  <c r="S164" i="14" s="1"/>
  <c r="I123" i="14"/>
  <c r="I116" i="14"/>
  <c r="D110" i="14"/>
  <c r="I109" i="14"/>
  <c r="I108" i="14"/>
  <c r="I107" i="14"/>
  <c r="I98" i="14"/>
  <c r="R99" i="14"/>
  <c r="S99" i="14" s="1"/>
  <c r="R106" i="14"/>
  <c r="S106" i="14" s="1"/>
  <c r="S11" i="14"/>
  <c r="L9" i="14"/>
  <c r="R11" i="14"/>
  <c r="O12" i="14"/>
  <c r="P12" i="14"/>
  <c r="R12" i="14"/>
  <c r="S12" i="14"/>
  <c r="U12" i="14"/>
  <c r="U13" i="14" s="1"/>
  <c r="U14" i="14" s="1"/>
  <c r="U15" i="14" s="1"/>
  <c r="U16" i="14" s="1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U40" i="14" s="1"/>
  <c r="U41" i="14" s="1"/>
  <c r="U42" i="14" s="1"/>
  <c r="U43" i="14" s="1"/>
  <c r="U44" i="14" s="1"/>
  <c r="U45" i="14" s="1"/>
  <c r="U46" i="14" s="1"/>
  <c r="U47" i="14" s="1"/>
  <c r="U48" i="14" s="1"/>
  <c r="U49" i="14" s="1"/>
  <c r="U50" i="14" s="1"/>
  <c r="O13" i="14"/>
  <c r="P13" i="14"/>
  <c r="R13" i="14"/>
  <c r="S13" i="14"/>
  <c r="O14" i="14"/>
  <c r="P14" i="14"/>
  <c r="R14" i="14"/>
  <c r="S14" i="14"/>
  <c r="O15" i="14"/>
  <c r="P15" i="14"/>
  <c r="R15" i="14"/>
  <c r="S15" i="14"/>
  <c r="O16" i="14"/>
  <c r="P16" i="14"/>
  <c r="R16" i="14"/>
  <c r="S16" i="14"/>
  <c r="O17" i="14"/>
  <c r="P17" i="14"/>
  <c r="R17" i="14"/>
  <c r="S17" i="14"/>
  <c r="O18" i="14"/>
  <c r="P18" i="14"/>
  <c r="R18" i="14"/>
  <c r="S18" i="14"/>
  <c r="O19" i="14"/>
  <c r="P19" i="14"/>
  <c r="R19" i="14"/>
  <c r="S19" i="14"/>
  <c r="E20" i="14"/>
  <c r="L20" i="14"/>
  <c r="O20" i="14"/>
  <c r="P20" i="14"/>
  <c r="R20" i="14"/>
  <c r="S20" i="14"/>
  <c r="O21" i="14"/>
  <c r="P21" i="14"/>
  <c r="R21" i="14"/>
  <c r="S21" i="14"/>
  <c r="O22" i="14"/>
  <c r="P22" i="14"/>
  <c r="R22" i="14"/>
  <c r="S22" i="14"/>
  <c r="E31" i="14"/>
  <c r="L31" i="14"/>
  <c r="E42" i="14"/>
  <c r="L42" i="14"/>
  <c r="D56" i="14"/>
  <c r="D57" i="14"/>
  <c r="D58" i="14"/>
  <c r="C60" i="14"/>
  <c r="P60" i="14"/>
  <c r="C61" i="14"/>
  <c r="P61" i="14"/>
  <c r="I93" i="14"/>
  <c r="A94" i="14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I94" i="14"/>
  <c r="I95" i="14"/>
  <c r="I96" i="14"/>
  <c r="I97" i="14"/>
  <c r="D99" i="14"/>
  <c r="I100" i="14"/>
  <c r="I101" i="14"/>
  <c r="I102" i="14"/>
  <c r="I103" i="14"/>
  <c r="I104" i="14"/>
  <c r="I105" i="14"/>
  <c r="D106" i="14"/>
  <c r="I112" i="14"/>
  <c r="I113" i="14"/>
  <c r="I114" i="14"/>
  <c r="I115" i="14"/>
  <c r="D117" i="14"/>
  <c r="I118" i="14"/>
  <c r="I119" i="14"/>
  <c r="I120" i="14"/>
  <c r="I121" i="14"/>
  <c r="I122" i="14"/>
  <c r="D124" i="14"/>
  <c r="J124" i="14" s="1"/>
  <c r="I125" i="14"/>
  <c r="I126" i="14"/>
  <c r="I127" i="14"/>
  <c r="I129" i="14"/>
  <c r="I130" i="14"/>
  <c r="I131" i="14"/>
  <c r="I132" i="14"/>
  <c r="I133" i="14"/>
  <c r="I134" i="14"/>
  <c r="I136" i="14"/>
  <c r="I137" i="14"/>
  <c r="I138" i="14"/>
  <c r="I139" i="14"/>
  <c r="I140" i="14"/>
  <c r="I141" i="14"/>
  <c r="I143" i="14"/>
  <c r="I144" i="14"/>
  <c r="I145" i="14"/>
  <c r="I147" i="14"/>
  <c r="I148" i="14"/>
  <c r="I149" i="14"/>
  <c r="I150" i="14"/>
  <c r="I151" i="14"/>
  <c r="I152" i="14"/>
  <c r="I154" i="14"/>
  <c r="I155" i="14"/>
  <c r="I156" i="14"/>
  <c r="I157" i="14"/>
  <c r="I158" i="14"/>
  <c r="I159" i="14"/>
  <c r="I161" i="14"/>
  <c r="I162" i="14"/>
  <c r="I163" i="14"/>
  <c r="F35" i="14"/>
  <c r="Z14" i="14"/>
  <c r="F16" i="14"/>
  <c r="M14" i="14"/>
  <c r="B125" i="14"/>
  <c r="B127" i="14" s="1"/>
  <c r="B143" i="14"/>
  <c r="F26" i="14"/>
  <c r="B77" i="14"/>
  <c r="L77" i="14" s="1"/>
  <c r="M48" i="14"/>
  <c r="M38" i="14"/>
  <c r="Z10" i="14"/>
  <c r="M46" i="14"/>
  <c r="M26" i="14"/>
  <c r="B136" i="14" l="1"/>
  <c r="B139" i="14" s="1"/>
  <c r="L34" i="14" s="1"/>
  <c r="E16" i="14"/>
  <c r="B144" i="14"/>
  <c r="L45" i="14"/>
  <c r="J142" i="14"/>
  <c r="G74" i="14" s="1"/>
  <c r="J135" i="14"/>
  <c r="G73" i="14" s="1"/>
  <c r="J117" i="14"/>
  <c r="G70" i="14" s="1"/>
  <c r="J106" i="14"/>
  <c r="G68" i="14" s="1"/>
  <c r="B72" i="14"/>
  <c r="J128" i="14"/>
  <c r="A124" i="14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Q123" i="14"/>
  <c r="R123" i="14" s="1"/>
  <c r="S123" i="14" s="1"/>
  <c r="B67" i="14"/>
  <c r="J99" i="14"/>
  <c r="G67" i="14" s="1"/>
  <c r="B69" i="14"/>
  <c r="J110" i="14"/>
  <c r="G69" i="14" s="1"/>
  <c r="D67" i="14"/>
  <c r="D68" i="14" s="1"/>
  <c r="D69" i="14" s="1"/>
  <c r="D70" i="14" s="1"/>
  <c r="D71" i="14" s="1"/>
  <c r="D72" i="14" s="1"/>
  <c r="D73" i="14" s="1"/>
  <c r="D74" i="14" s="1"/>
  <c r="D75" i="14" s="1"/>
  <c r="D76" i="14" s="1"/>
  <c r="D77" i="14" s="1"/>
  <c r="B94" i="14"/>
  <c r="L12" i="14" s="1"/>
  <c r="B68" i="14"/>
  <c r="G71" i="14"/>
  <c r="B70" i="14"/>
  <c r="G76" i="14"/>
  <c r="Q76" i="14" s="1"/>
  <c r="G75" i="14"/>
  <c r="B75" i="14"/>
  <c r="B71" i="14"/>
  <c r="B76" i="14"/>
  <c r="L76" i="14" s="1"/>
  <c r="B73" i="14"/>
  <c r="G72" i="14"/>
  <c r="G77" i="14"/>
  <c r="Q77" i="14" s="1"/>
  <c r="B126" i="14"/>
  <c r="B145" i="14"/>
  <c r="B161" i="14"/>
  <c r="B96" i="14"/>
  <c r="B97" i="14"/>
  <c r="B118" i="14"/>
  <c r="B111" i="14"/>
  <c r="B147" i="14"/>
  <c r="B95" i="14"/>
  <c r="E11" i="14" s="1"/>
  <c r="B154" i="14"/>
  <c r="B100" i="14"/>
  <c r="E22" i="14" s="1"/>
  <c r="B129" i="14"/>
  <c r="E33" i="14" s="1"/>
  <c r="B107" i="14"/>
  <c r="M50" i="14"/>
  <c r="M28" i="14"/>
  <c r="F44" i="14"/>
  <c r="F39" i="14"/>
  <c r="F15" i="14"/>
  <c r="M25" i="14"/>
  <c r="M11" i="14"/>
  <c r="P99" i="14"/>
  <c r="L99" i="14" s="1"/>
  <c r="F22" i="14"/>
  <c r="M33" i="14"/>
  <c r="M49" i="14"/>
  <c r="F17" i="14"/>
  <c r="F48" i="14"/>
  <c r="M13" i="14"/>
  <c r="Z8" i="14"/>
  <c r="F13" i="14"/>
  <c r="F38" i="14"/>
  <c r="M39" i="14"/>
  <c r="F11" i="14"/>
  <c r="M17" i="14"/>
  <c r="M27" i="14"/>
  <c r="F46" i="14"/>
  <c r="M35" i="14"/>
  <c r="M44" i="14"/>
  <c r="F50" i="14"/>
  <c r="Z13" i="14"/>
  <c r="F24" i="14"/>
  <c r="F14" i="14"/>
  <c r="M22" i="14"/>
  <c r="F36" i="14"/>
  <c r="Q161" i="14"/>
  <c r="R161" i="14" s="1"/>
  <c r="S161" i="14" s="1"/>
  <c r="Q109" i="14"/>
  <c r="R109" i="14" s="1"/>
  <c r="S109" i="14" s="1"/>
  <c r="M15" i="14"/>
  <c r="F27" i="14"/>
  <c r="M37" i="14"/>
  <c r="Q151" i="14"/>
  <c r="R151" i="14" s="1"/>
  <c r="S151" i="14" s="1"/>
  <c r="Q141" i="14"/>
  <c r="R141" i="14" s="1"/>
  <c r="S141" i="14" s="1"/>
  <c r="Q132" i="14"/>
  <c r="R132" i="14" s="1"/>
  <c r="S132" i="14" s="1"/>
  <c r="N35" i="14" s="1"/>
  <c r="F12" i="14"/>
  <c r="Q121" i="14"/>
  <c r="R121" i="14" s="1"/>
  <c r="S121" i="14" s="1"/>
  <c r="F37" i="14"/>
  <c r="F34" i="14"/>
  <c r="Z16" i="14"/>
  <c r="Q159" i="14"/>
  <c r="R159" i="14" s="1"/>
  <c r="S159" i="14" s="1"/>
  <c r="Q140" i="14"/>
  <c r="R140" i="14" s="1"/>
  <c r="S140" i="14" s="1"/>
  <c r="Q120" i="14"/>
  <c r="R120" i="14" s="1"/>
  <c r="S120" i="14" s="1"/>
  <c r="Q107" i="14"/>
  <c r="R107" i="14" s="1"/>
  <c r="S107" i="14" s="1"/>
  <c r="Q103" i="14"/>
  <c r="R103" i="14" s="1"/>
  <c r="S103" i="14" s="1"/>
  <c r="F28" i="14"/>
  <c r="M23" i="14"/>
  <c r="Q150" i="14"/>
  <c r="R150" i="14" s="1"/>
  <c r="S150" i="14" s="1"/>
  <c r="Q131" i="14"/>
  <c r="R131" i="14" s="1"/>
  <c r="S131" i="14" s="1"/>
  <c r="Q98" i="14"/>
  <c r="R98" i="14" s="1"/>
  <c r="S98" i="14" s="1"/>
  <c r="M36" i="14"/>
  <c r="Q158" i="14"/>
  <c r="R158" i="14" s="1"/>
  <c r="S158" i="14" s="1"/>
  <c r="Q149" i="14"/>
  <c r="R149" i="14" s="1"/>
  <c r="S149" i="14" s="1"/>
  <c r="Q139" i="14"/>
  <c r="R139" i="14" s="1"/>
  <c r="S139" i="14" s="1"/>
  <c r="N34" i="14" s="1"/>
  <c r="Q130" i="14"/>
  <c r="R130" i="14" s="1"/>
  <c r="S130" i="14" s="1"/>
  <c r="Q119" i="14"/>
  <c r="R119" i="14" s="1"/>
  <c r="S119" i="14" s="1"/>
  <c r="Q100" i="14"/>
  <c r="R100" i="14" s="1"/>
  <c r="S100" i="14" s="1"/>
  <c r="Q93" i="14"/>
  <c r="R93" i="14" s="1"/>
  <c r="F23" i="14"/>
  <c r="Q148" i="14"/>
  <c r="R148" i="14" s="1"/>
  <c r="S148" i="14" s="1"/>
  <c r="Q129" i="14"/>
  <c r="R129" i="14" s="1"/>
  <c r="S129" i="14" s="1"/>
  <c r="Q101" i="14"/>
  <c r="R101" i="14" s="1"/>
  <c r="S101" i="14" s="1"/>
  <c r="Q157" i="14"/>
  <c r="R157" i="14" s="1"/>
  <c r="S157" i="14" s="1"/>
  <c r="Q138" i="14"/>
  <c r="R138" i="14" s="1"/>
  <c r="S138" i="14" s="1"/>
  <c r="N33" i="14" s="1"/>
  <c r="Q118" i="14"/>
  <c r="R118" i="14" s="1"/>
  <c r="S118" i="14" s="1"/>
  <c r="Q105" i="14"/>
  <c r="R105" i="14" s="1"/>
  <c r="S105" i="14" s="1"/>
  <c r="F45" i="14"/>
  <c r="Q156" i="14"/>
  <c r="R156" i="14" s="1"/>
  <c r="S156" i="14" s="1"/>
  <c r="Q147" i="14"/>
  <c r="R147" i="14" s="1"/>
  <c r="S147" i="14" s="1"/>
  <c r="Q137" i="14"/>
  <c r="R137" i="14" s="1"/>
  <c r="S137" i="14" s="1"/>
  <c r="Q127" i="14"/>
  <c r="R127" i="14" s="1"/>
  <c r="S127" i="14" s="1"/>
  <c r="Q115" i="14"/>
  <c r="R115" i="14" s="1"/>
  <c r="S115" i="14" s="1"/>
  <c r="Q95" i="14"/>
  <c r="R95" i="14" s="1"/>
  <c r="S95" i="14" s="1"/>
  <c r="Q104" i="14"/>
  <c r="R104" i="14" s="1"/>
  <c r="S104" i="14" s="1"/>
  <c r="F49" i="14"/>
  <c r="M47" i="14"/>
  <c r="Q145" i="14"/>
  <c r="R145" i="14" s="1"/>
  <c r="S145" i="14" s="1"/>
  <c r="Q113" i="14"/>
  <c r="R113" i="14" s="1"/>
  <c r="S113" i="14" s="1"/>
  <c r="Q116" i="14"/>
  <c r="R116" i="14" s="1"/>
  <c r="S116" i="14" s="1"/>
  <c r="M24" i="14"/>
  <c r="M12" i="14"/>
  <c r="Q163" i="14"/>
  <c r="R163" i="14" s="1"/>
  <c r="S163" i="14" s="1"/>
  <c r="Q126" i="14"/>
  <c r="R126" i="14" s="1"/>
  <c r="S126" i="14" s="1"/>
  <c r="Q112" i="14"/>
  <c r="R112" i="14" s="1"/>
  <c r="S112" i="14" s="1"/>
  <c r="Q154" i="14"/>
  <c r="R154" i="14" s="1"/>
  <c r="S154" i="14" s="1"/>
  <c r="Q144" i="14"/>
  <c r="R144" i="14" s="1"/>
  <c r="S144" i="14" s="1"/>
  <c r="Q134" i="14"/>
  <c r="R134" i="14" s="1"/>
  <c r="S134" i="14" s="1"/>
  <c r="Q125" i="14"/>
  <c r="R125" i="14" s="1"/>
  <c r="S125" i="14" s="1"/>
  <c r="Q111" i="14"/>
  <c r="R111" i="14" s="1"/>
  <c r="S111" i="14" s="1"/>
  <c r="Q94" i="14"/>
  <c r="R94" i="14" s="1"/>
  <c r="S94" i="14" s="1"/>
  <c r="Q155" i="14"/>
  <c r="R155" i="14" s="1"/>
  <c r="S155" i="14" s="1"/>
  <c r="Q136" i="14"/>
  <c r="R136" i="14" s="1"/>
  <c r="S136" i="14" s="1"/>
  <c r="Q162" i="14"/>
  <c r="R162" i="14" s="1"/>
  <c r="S162" i="14" s="1"/>
  <c r="Q152" i="14"/>
  <c r="R152" i="14" s="1"/>
  <c r="S152" i="14" s="1"/>
  <c r="Q143" i="14"/>
  <c r="R143" i="14" s="1"/>
  <c r="S143" i="14" s="1"/>
  <c r="Q133" i="14"/>
  <c r="R133" i="14" s="1"/>
  <c r="S133" i="14" s="1"/>
  <c r="Q122" i="14"/>
  <c r="R122" i="14" s="1"/>
  <c r="S122" i="14" s="1"/>
  <c r="Q97" i="14"/>
  <c r="R97" i="14" s="1"/>
  <c r="S97" i="14" s="1"/>
  <c r="Q108" i="14"/>
  <c r="R108" i="14" s="1"/>
  <c r="S108" i="14" s="1"/>
  <c r="Q96" i="14"/>
  <c r="R96" i="14" s="1"/>
  <c r="S96" i="14" s="1"/>
  <c r="M16" i="14"/>
  <c r="Q102" i="14"/>
  <c r="R102" i="14" s="1"/>
  <c r="S102" i="14" s="1"/>
  <c r="Q114" i="14"/>
  <c r="R114" i="14" s="1"/>
  <c r="S114" i="14" s="1"/>
  <c r="E15" i="14" l="1"/>
  <c r="E13" i="14"/>
  <c r="L14" i="14"/>
  <c r="E12" i="14"/>
  <c r="B138" i="14"/>
  <c r="L33" i="14" s="1"/>
  <c r="B140" i="14"/>
  <c r="L36" i="14" s="1"/>
  <c r="B141" i="14"/>
  <c r="B137" i="14"/>
  <c r="L24" i="14" s="1"/>
  <c r="S93" i="14"/>
  <c r="D53" i="14" s="1"/>
  <c r="D54" i="14"/>
  <c r="N48" i="14"/>
  <c r="N47" i="14"/>
  <c r="G36" i="14"/>
  <c r="N36" i="14"/>
  <c r="G37" i="14"/>
  <c r="N37" i="14"/>
  <c r="G38" i="14"/>
  <c r="N45" i="14"/>
  <c r="N44" i="14"/>
  <c r="G48" i="14"/>
  <c r="N46" i="14"/>
  <c r="P106" i="14"/>
  <c r="L106" i="14" s="1"/>
  <c r="L67" i="14"/>
  <c r="B105" i="14"/>
  <c r="B101" i="14"/>
  <c r="B102" i="14"/>
  <c r="L11" i="14" s="1"/>
  <c r="B103" i="14"/>
  <c r="E25" i="14" s="1"/>
  <c r="B104" i="14"/>
  <c r="L15" i="14" s="1"/>
  <c r="B163" i="14"/>
  <c r="B162" i="14"/>
  <c r="B157" i="14"/>
  <c r="B155" i="14"/>
  <c r="B158" i="14"/>
  <c r="B159" i="14"/>
  <c r="B156" i="14"/>
  <c r="B149" i="14"/>
  <c r="B152" i="14"/>
  <c r="B151" i="14"/>
  <c r="B148" i="14"/>
  <c r="B150" i="14"/>
  <c r="B116" i="14"/>
  <c r="B112" i="14"/>
  <c r="E23" i="14" s="1"/>
  <c r="B115" i="14"/>
  <c r="E26" i="14" s="1"/>
  <c r="B113" i="14"/>
  <c r="E24" i="14" s="1"/>
  <c r="B114" i="14"/>
  <c r="L38" i="14" s="1"/>
  <c r="B119" i="14"/>
  <c r="B120" i="14"/>
  <c r="B122" i="14"/>
  <c r="B123" i="14"/>
  <c r="B121" i="14"/>
  <c r="B109" i="14"/>
  <c r="B108" i="14"/>
  <c r="B134" i="14"/>
  <c r="B132" i="14"/>
  <c r="L35" i="14" s="1"/>
  <c r="B130" i="14"/>
  <c r="E34" i="14" s="1"/>
  <c r="B133" i="14"/>
  <c r="E36" i="14" s="1"/>
  <c r="B131" i="14"/>
  <c r="E35" i="14" s="1"/>
  <c r="Z18" i="14"/>
  <c r="M45" i="14"/>
  <c r="Z17" i="14"/>
  <c r="M34" i="14"/>
  <c r="N38" i="14" l="1"/>
  <c r="G33" i="14"/>
  <c r="G44" i="14"/>
  <c r="G34" i="14"/>
  <c r="G45" i="14"/>
  <c r="G35" i="14"/>
  <c r="G46" i="14"/>
  <c r="G47" i="14"/>
  <c r="Q67" i="14"/>
  <c r="P110" i="14"/>
  <c r="L110" i="14" s="1"/>
  <c r="Q68" i="14" l="1"/>
  <c r="L68" i="14"/>
  <c r="P117" i="14"/>
  <c r="L117" i="14" s="1"/>
  <c r="Q70" i="14" l="1"/>
  <c r="L70" i="14"/>
  <c r="P124" i="14"/>
  <c r="L124" i="14" s="1"/>
  <c r="P128" i="14" l="1"/>
  <c r="L128" i="14" s="1"/>
  <c r="Q71" i="14" l="1"/>
  <c r="L71" i="14" s="1"/>
  <c r="P135" i="14"/>
  <c r="L135" i="14" s="1"/>
  <c r="Q73" i="14" l="1"/>
  <c r="L73" i="14" s="1"/>
  <c r="P142" i="14"/>
  <c r="L142" i="14" s="1"/>
  <c r="Q74" i="14" l="1"/>
  <c r="L74" i="14" s="1"/>
  <c r="P146" i="14"/>
  <c r="L146" i="14" s="1"/>
  <c r="P153" i="14" l="1"/>
  <c r="L153" i="14" s="1"/>
  <c r="P160" i="14" l="1"/>
  <c r="L160" i="14" s="1"/>
  <c r="P164" i="14" l="1"/>
  <c r="L164" i="14" l="1"/>
  <c r="D52" i="14" s="1"/>
</calcChain>
</file>

<file path=xl/sharedStrings.xml><?xml version="1.0" encoding="utf-8"?>
<sst xmlns="http://schemas.openxmlformats.org/spreadsheetml/2006/main" count="924" uniqueCount="634">
  <si>
    <t xml:space="preserve">Term </t>
  </si>
  <si>
    <t>Course</t>
  </si>
  <si>
    <t>Grade</t>
  </si>
  <si>
    <t>C</t>
  </si>
  <si>
    <t>A</t>
  </si>
  <si>
    <t>A-</t>
  </si>
  <si>
    <t>D-</t>
  </si>
  <si>
    <t>C+</t>
  </si>
  <si>
    <t>F</t>
  </si>
  <si>
    <t>D</t>
  </si>
  <si>
    <t>D+</t>
  </si>
  <si>
    <t>C-</t>
  </si>
  <si>
    <t>B-</t>
  </si>
  <si>
    <t>B</t>
  </si>
  <si>
    <t>B+</t>
  </si>
  <si>
    <t>Z</t>
  </si>
  <si>
    <t>S</t>
  </si>
  <si>
    <t>W</t>
  </si>
  <si>
    <t>GPA</t>
  </si>
  <si>
    <t>Credits</t>
  </si>
  <si>
    <t>Department of Engineering Management and Systems Engineering</t>
  </si>
  <si>
    <t>Systems Engineering Curriculum (B.S.)</t>
  </si>
  <si>
    <t>Credits =</t>
  </si>
  <si>
    <t>Student Name:</t>
  </si>
  <si>
    <t>GWid:</t>
  </si>
  <si>
    <t>Advisor Name:</t>
  </si>
  <si>
    <t>Admit Term:</t>
  </si>
  <si>
    <t>FALL</t>
  </si>
  <si>
    <t>SPRING</t>
  </si>
  <si>
    <t>First Semester</t>
  </si>
  <si>
    <t xml:space="preserve">Credits = </t>
  </si>
  <si>
    <t>Second Semester</t>
  </si>
  <si>
    <t>NOT FOR DEGREE</t>
  </si>
  <si>
    <t>Hr</t>
  </si>
  <si>
    <t>Description</t>
  </si>
  <si>
    <t>Grd</t>
  </si>
  <si>
    <t>Date</t>
  </si>
  <si>
    <t>Third Semester</t>
  </si>
  <si>
    <t>Fourth Semester</t>
  </si>
  <si>
    <t>Fifth Semester</t>
  </si>
  <si>
    <t>Sixth Semester</t>
  </si>
  <si>
    <t>An internship is required.</t>
  </si>
  <si>
    <t>Seventh Semester</t>
  </si>
  <si>
    <t>Eighth Semester</t>
  </si>
  <si>
    <t>Technical GPA</t>
  </si>
  <si>
    <t>Student Name</t>
  </si>
  <si>
    <t>Advisor</t>
  </si>
  <si>
    <t>Sem. Hrs.</t>
  </si>
  <si>
    <t>Semester</t>
  </si>
  <si>
    <t>Year</t>
  </si>
  <si>
    <t>Sem. GPA</t>
  </si>
  <si>
    <t>Initials / Date</t>
  </si>
  <si>
    <t>Action</t>
  </si>
  <si>
    <t>Used</t>
  </si>
  <si>
    <t>Fall</t>
  </si>
  <si>
    <t>Spring</t>
  </si>
  <si>
    <t>Summer</t>
  </si>
  <si>
    <t>GWU GPA</t>
  </si>
  <si>
    <t>SEAS GPA</t>
  </si>
  <si>
    <t>QPI</t>
  </si>
  <si>
    <t>#</t>
  </si>
  <si>
    <t>CH</t>
  </si>
  <si>
    <t>Sem GPA</t>
  </si>
  <si>
    <t>T</t>
  </si>
  <si>
    <t>MATH 2233</t>
  </si>
  <si>
    <t>EMSE 3850</t>
  </si>
  <si>
    <t>EMSE 4710</t>
  </si>
  <si>
    <t>EMSE 2705</t>
  </si>
  <si>
    <t>EMSE 1001</t>
  </si>
  <si>
    <t>SEAS 1001</t>
  </si>
  <si>
    <t>UW 1020</t>
  </si>
  <si>
    <t>MATH 1232</t>
  </si>
  <si>
    <t>MATH 1231</t>
  </si>
  <si>
    <t>APSC 2113</t>
  </si>
  <si>
    <t>APSC 3115</t>
  </si>
  <si>
    <t>ECON 1011</t>
  </si>
  <si>
    <t>EMSE 2801</t>
  </si>
  <si>
    <t xml:space="preserve"> </t>
  </si>
  <si>
    <t>EMSE 3815</t>
  </si>
  <si>
    <t>EMSE 4755</t>
  </si>
  <si>
    <t>EMSE 3820</t>
  </si>
  <si>
    <t>EMSE 4410</t>
  </si>
  <si>
    <t>EMSE 3760</t>
  </si>
  <si>
    <t>EMSE 4190</t>
  </si>
  <si>
    <t>EMSE 4191</t>
  </si>
  <si>
    <t>Transfers</t>
  </si>
  <si>
    <t>Minor</t>
  </si>
  <si>
    <t>STAT 2183W</t>
  </si>
  <si>
    <t>EMSE 3855W</t>
  </si>
  <si>
    <t>COMM 1042</t>
  </si>
  <si>
    <t>PHYS 1021</t>
  </si>
  <si>
    <t>PHYS 1022</t>
  </si>
  <si>
    <t>EMSE 4765</t>
  </si>
  <si>
    <t>EMSE 3740W</t>
  </si>
  <si>
    <t>EMSE 4770</t>
  </si>
  <si>
    <t>PHIL 2135</t>
  </si>
  <si>
    <t>***</t>
  </si>
  <si>
    <t>****</t>
  </si>
  <si>
    <t>or CHEM 1111 or CHEM 1112</t>
  </si>
  <si>
    <t>BISC 1125, or BISC 1116 plus BISC 1126,</t>
  </si>
  <si>
    <t>A minor outside the EMSE Dept is required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</si>
  <si>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</si>
  <si>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</si>
  <si>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</si>
  <si>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</si>
  <si>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</si>
  <si>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</si>
  <si>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</si>
  <si>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</si>
  <si>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P</t>
  </si>
  <si>
    <t>R</t>
  </si>
  <si>
    <t>I</t>
  </si>
  <si>
    <t>Joost Santos</t>
  </si>
  <si>
    <t>Name</t>
  </si>
  <si>
    <t>GWID</t>
  </si>
  <si>
    <t>Degree</t>
  </si>
  <si>
    <t>BS Systems Engineering</t>
  </si>
  <si>
    <t>Sec Fields</t>
  </si>
  <si>
    <t>Humanities</t>
  </si>
  <si>
    <t>Social Science</t>
  </si>
  <si>
    <t>Eng Elec</t>
  </si>
  <si>
    <t>WIDS</t>
  </si>
  <si>
    <t>Course Sub</t>
  </si>
  <si>
    <t>for</t>
  </si>
  <si>
    <t>Deficiencies</t>
  </si>
  <si>
    <t>5 Year Courses</t>
  </si>
  <si>
    <t>BADM</t>
  </si>
  <si>
    <t>CSCI</t>
  </si>
  <si>
    <t>ECON</t>
  </si>
  <si>
    <t>BISC</t>
  </si>
  <si>
    <t>BME</t>
  </si>
  <si>
    <t>BIPH</t>
  </si>
  <si>
    <t>CHEM</t>
  </si>
  <si>
    <t>CENG</t>
  </si>
  <si>
    <t>EE</t>
  </si>
  <si>
    <t>GIS</t>
  </si>
  <si>
    <t>MATH</t>
  </si>
  <si>
    <t>ME</t>
  </si>
  <si>
    <t>BISC 1111</t>
  </si>
  <si>
    <t>BISC 1112</t>
  </si>
  <si>
    <t>LIST</t>
  </si>
  <si>
    <t>BIOC 3261</t>
  </si>
  <si>
    <t>BIOC 3262</t>
  </si>
  <si>
    <t>BIOC 3263</t>
  </si>
  <si>
    <t>BIOC 3564</t>
  </si>
  <si>
    <t>CHEM 3165</t>
  </si>
  <si>
    <t>CHEM 3166W</t>
  </si>
  <si>
    <t>CHEM 3262</t>
  </si>
  <si>
    <t>CHEM 3564</t>
  </si>
  <si>
    <t>GEOL 2151</t>
  </si>
  <si>
    <t>BME 3820</t>
  </si>
  <si>
    <t>ECE 2110</t>
  </si>
  <si>
    <t>ECE 2210</t>
  </si>
  <si>
    <t>BME 4830</t>
  </si>
  <si>
    <t>ECE 3220</t>
  </si>
  <si>
    <t>MAE 3128</t>
  </si>
  <si>
    <t>MAE 4168</t>
  </si>
  <si>
    <t>PHYS 3127</t>
  </si>
  <si>
    <t>PHYS 3128</t>
  </si>
  <si>
    <t>BISC 2XXX</t>
  </si>
  <si>
    <t>BISC 3XXX</t>
  </si>
  <si>
    <t>BISC 4XXX</t>
  </si>
  <si>
    <t>12 credits from</t>
  </si>
  <si>
    <t>Select 2 from</t>
  </si>
  <si>
    <t>PHYS 2023</t>
  </si>
  <si>
    <t>PHYS 3127</t>
  </si>
  <si>
    <t>PHYS 3128</t>
  </si>
  <si>
    <t>ECON 1012</t>
  </si>
  <si>
    <t>ACCY 2001</t>
  </si>
  <si>
    <t>Select 5 from</t>
  </si>
  <si>
    <t>BADM 2301</t>
  </si>
  <si>
    <t>BADM 3103</t>
  </si>
  <si>
    <t>BADM 3401</t>
  </si>
  <si>
    <t>BADM 3501</t>
  </si>
  <si>
    <t>BADM 3601</t>
  </si>
  <si>
    <t>BADM 4101</t>
  </si>
  <si>
    <t>BADM 4801</t>
  </si>
  <si>
    <t>IBUS 3001</t>
  </si>
  <si>
    <t>CHEM 1111</t>
  </si>
  <si>
    <t>CHEM 1112</t>
  </si>
  <si>
    <t>CHEM 2122</t>
  </si>
  <si>
    <t>CHEM 2123</t>
  </si>
  <si>
    <t>CHEM 2151</t>
  </si>
  <si>
    <t>CHEM 2152</t>
  </si>
  <si>
    <t>CHEM 2153</t>
  </si>
  <si>
    <t>CHEM 2154</t>
  </si>
  <si>
    <t>Select 1 from</t>
  </si>
  <si>
    <t>CHEM 3170</t>
  </si>
  <si>
    <t>CHEM 3171</t>
  </si>
  <si>
    <t>CHEM 4134</t>
  </si>
  <si>
    <t>ECE 2115</t>
  </si>
  <si>
    <t>ECE 2140</t>
  </si>
  <si>
    <t>ECE 1120</t>
  </si>
  <si>
    <t>ECE 3130</t>
  </si>
  <si>
    <t>ECE 3135</t>
  </si>
  <si>
    <t>ECE 3310</t>
  </si>
  <si>
    <t>ECE 3515</t>
  </si>
  <si>
    <t>ECE 3520</t>
  </si>
  <si>
    <t>ECE 3525</t>
  </si>
  <si>
    <t>ECE 4140</t>
  </si>
  <si>
    <t>ECE 4535</t>
  </si>
  <si>
    <t>ECE 4415</t>
  </si>
  <si>
    <t>ECE 4425</t>
  </si>
  <si>
    <t>CSCI 1111</t>
  </si>
  <si>
    <t>CSCI 1112</t>
  </si>
  <si>
    <t>CSCI 2113</t>
  </si>
  <si>
    <t>CSCI 1311</t>
  </si>
  <si>
    <t>CSCI 2441</t>
  </si>
  <si>
    <t>CSCI 2461</t>
  </si>
  <si>
    <t>CSCI 3212</t>
  </si>
  <si>
    <t>CSCI 3313</t>
  </si>
  <si>
    <t>CSCI 3410</t>
  </si>
  <si>
    <t>CSCI 3411</t>
  </si>
  <si>
    <t>CSCI 4237</t>
  </si>
  <si>
    <t>CSCI 4331</t>
  </si>
  <si>
    <t>CSCI 4341</t>
  </si>
  <si>
    <t>CSCI 4342</t>
  </si>
  <si>
    <t>CSCI 4364</t>
  </si>
  <si>
    <t>CSCI 4431</t>
  </si>
  <si>
    <t>CSCI 4527</t>
  </si>
  <si>
    <t>CSCI 4531</t>
  </si>
  <si>
    <t>CSCI 4541</t>
  </si>
  <si>
    <t>CSCI 4554</t>
  </si>
  <si>
    <t>CSCI 4561</t>
  </si>
  <si>
    <t>SOC 1001</t>
  </si>
  <si>
    <t>SOC 1003</t>
  </si>
  <si>
    <t>SOC 2136</t>
  </si>
  <si>
    <t>SOC 2145</t>
  </si>
  <si>
    <t>ANTH 3513</t>
  </si>
  <si>
    <t>FORS 2104</t>
  </si>
  <si>
    <t>HIST 2341</t>
  </si>
  <si>
    <t>PSC 2213</t>
  </si>
  <si>
    <t>PSC 2215</t>
  </si>
  <si>
    <t>PSYC 2011</t>
  </si>
  <si>
    <t>PSYC 2554</t>
  </si>
  <si>
    <t>SOC 2135</t>
  </si>
  <si>
    <t>SOC 2137</t>
  </si>
  <si>
    <t>SOC 2139</t>
  </si>
  <si>
    <t>SOC 2146</t>
  </si>
  <si>
    <t>SOC 2164</t>
  </si>
  <si>
    <t>SOC 2167</t>
  </si>
  <si>
    <t>SOC 2177</t>
  </si>
  <si>
    <t>SOC 2178</t>
  </si>
  <si>
    <t>SOC 2184</t>
  </si>
  <si>
    <t>SOC 2189</t>
  </si>
  <si>
    <t>ECON 2101</t>
  </si>
  <si>
    <t>ECON 2102</t>
  </si>
  <si>
    <t>ECON 2XXX</t>
  </si>
  <si>
    <t>ECON 3XXX</t>
  </si>
  <si>
    <t>ECON 4XXX</t>
  </si>
  <si>
    <t>ECE 3125</t>
  </si>
  <si>
    <t>ECE 3315</t>
  </si>
  <si>
    <t>ECE 3410</t>
  </si>
  <si>
    <t>ECE 4610</t>
  </si>
  <si>
    <t>ECE 4620</t>
  </si>
  <si>
    <t>ECE 4710</t>
  </si>
  <si>
    <t>GEOG 2104</t>
  </si>
  <si>
    <t>GEOG 3105</t>
  </si>
  <si>
    <t>GEOG 3106</t>
  </si>
  <si>
    <t>GEOG 3107</t>
  </si>
  <si>
    <t>GEOG 3196</t>
  </si>
  <si>
    <t>GEOG 4307</t>
  </si>
  <si>
    <t>GEOG 4308</t>
  </si>
  <si>
    <t>GEOG 4309</t>
  </si>
  <si>
    <t>GEOG 4310</t>
  </si>
  <si>
    <t>GEOG 4311</t>
  </si>
  <si>
    <t>MATH 3XXX</t>
  </si>
  <si>
    <t>MATH 4XXX</t>
  </si>
  <si>
    <t>CE 2220</t>
  </si>
  <si>
    <t>MAE 2131</t>
  </si>
  <si>
    <t>MAE 3126</t>
  </si>
  <si>
    <t>MAE 3187</t>
  </si>
  <si>
    <t>or MAE 3191</t>
  </si>
  <si>
    <t>NSCI</t>
  </si>
  <si>
    <t>NSC 1051</t>
  </si>
  <si>
    <t>NSC 2126</t>
  </si>
  <si>
    <t>NSC 2176</t>
  </si>
  <si>
    <t>NSC 4176</t>
  </si>
  <si>
    <t>NSC 2160</t>
  </si>
  <si>
    <t>NSC 2190</t>
  </si>
  <si>
    <t>NSC 1052</t>
  </si>
  <si>
    <t>NSC 2125</t>
  </si>
  <si>
    <t>NSC 2150</t>
  </si>
  <si>
    <t>NSC 2151</t>
  </si>
  <si>
    <t>Select 4 from</t>
  </si>
  <si>
    <t>OCOM</t>
  </si>
  <si>
    <t>COMM 3170</t>
  </si>
  <si>
    <t>COMM 3171</t>
  </si>
  <si>
    <t>ORSC 1109</t>
  </si>
  <si>
    <t>ORSC 2544</t>
  </si>
  <si>
    <t>COMM 2120</t>
  </si>
  <si>
    <t>COMM 2140</t>
  </si>
  <si>
    <t>COMM 3173</t>
  </si>
  <si>
    <t>COMM 3174</t>
  </si>
  <si>
    <t>COMM 3175</t>
  </si>
  <si>
    <t>COMM 3176</t>
  </si>
  <si>
    <t>COMM 3177</t>
  </si>
  <si>
    <t>ORSC 2046</t>
  </si>
  <si>
    <t>ORSC 2560</t>
  </si>
  <si>
    <t>SUST</t>
  </si>
  <si>
    <t xml:space="preserve">PHYS </t>
  </si>
  <si>
    <t>PHYS 3XXX</t>
  </si>
  <si>
    <t>PHYS 4XXX</t>
  </si>
  <si>
    <t>PSC 1001</t>
  </si>
  <si>
    <t>PSC XXXX</t>
  </si>
  <si>
    <t>PSC 2105</t>
  </si>
  <si>
    <t>PSC 2106</t>
  </si>
  <si>
    <t>PSC 2107</t>
  </si>
  <si>
    <t>PSC 2108</t>
  </si>
  <si>
    <t>PSC 2110</t>
  </si>
  <si>
    <t>PSC 2120</t>
  </si>
  <si>
    <t>PSC 2991</t>
  </si>
  <si>
    <t>AMST 2120</t>
  </si>
  <si>
    <t>PSC</t>
  </si>
  <si>
    <t>PUBH</t>
  </si>
  <si>
    <t>SOC</t>
  </si>
  <si>
    <t>STAT</t>
  </si>
  <si>
    <t>PUBH 1101</t>
  </si>
  <si>
    <t>PUBH 3131</t>
  </si>
  <si>
    <t>PUBH 3133</t>
  </si>
  <si>
    <t>PUBH XXXX</t>
  </si>
  <si>
    <t>SOC 2101</t>
  </si>
  <si>
    <t>SOC 2XXX</t>
  </si>
  <si>
    <t>SOC 3XXX</t>
  </si>
  <si>
    <t>SOC 4XXX</t>
  </si>
  <si>
    <t>STAT 2118</t>
  </si>
  <si>
    <t>STAT 2XXX</t>
  </si>
  <si>
    <t>STAT 3XXX</t>
  </si>
  <si>
    <t>STAT 4XXX</t>
  </si>
  <si>
    <t>SUST 1001</t>
  </si>
  <si>
    <t>SUST 3097</t>
  </si>
  <si>
    <t>Select 1 from each</t>
  </si>
  <si>
    <t>Pillar I</t>
  </si>
  <si>
    <t>Pillar II</t>
  </si>
  <si>
    <t>Pillar III</t>
  </si>
  <si>
    <t>Pillar IV</t>
  </si>
  <si>
    <t>CRJT</t>
  </si>
  <si>
    <t>Soc Sci</t>
  </si>
  <si>
    <t>ANTH 1004</t>
  </si>
  <si>
    <t>ANTH 1003</t>
  </si>
  <si>
    <t>ANTH 1002</t>
  </si>
  <si>
    <t>ANTH 1002W</t>
  </si>
  <si>
    <t>ANTH 2008</t>
  </si>
  <si>
    <t>ANTH 2008W</t>
  </si>
  <si>
    <t>ANTH 2502</t>
  </si>
  <si>
    <t>ANTH 3502</t>
  </si>
  <si>
    <t>ANTH 3704</t>
  </si>
  <si>
    <t>ANTH 3838</t>
  </si>
  <si>
    <t>ANTH 3838W</t>
  </si>
  <si>
    <t>COMM 1025</t>
  </si>
  <si>
    <t>COMM 1040</t>
  </si>
  <si>
    <t>COMM 1041</t>
  </si>
  <si>
    <t>GEOG 1001</t>
  </si>
  <si>
    <t>GEOG 1003</t>
  </si>
  <si>
    <t>HONR 2043</t>
  </si>
  <si>
    <t>HONR 2044</t>
  </si>
  <si>
    <t>HONR 2-47</t>
  </si>
  <si>
    <t>HONR 2047W</t>
  </si>
  <si>
    <t>SMPA 1050</t>
  </si>
  <si>
    <t>SMPA 2101</t>
  </si>
  <si>
    <t>SMPA 2102</t>
  </si>
  <si>
    <t>ORSC 2000</t>
  </si>
  <si>
    <t>PSC 1001W</t>
  </si>
  <si>
    <t>PSC 1002</t>
  </si>
  <si>
    <t>PSC 1002W</t>
  </si>
  <si>
    <t>PSC 1011</t>
  </si>
  <si>
    <t>PSC 1012W</t>
  </si>
  <si>
    <t>PSYC 2011</t>
  </si>
  <si>
    <t>PSYC 2011W</t>
  </si>
  <si>
    <t>PSYC 2012</t>
  </si>
  <si>
    <t>PSYC 2013</t>
  </si>
  <si>
    <t>PSYC 2014</t>
  </si>
  <si>
    <t>PSYC 2015</t>
  </si>
  <si>
    <t>SOC 1002</t>
  </si>
  <si>
    <t>SOC 2102</t>
  </si>
  <si>
    <t>SOC 2104</t>
  </si>
  <si>
    <t>SOC 2104W</t>
  </si>
  <si>
    <t>SLHS 1071</t>
  </si>
  <si>
    <t>SLHS 1071W</t>
  </si>
  <si>
    <t>SLHS 1072</t>
  </si>
  <si>
    <t>SLHS 10884</t>
  </si>
  <si>
    <t>UNIV 1005</t>
  </si>
  <si>
    <t>GRADES</t>
  </si>
  <si>
    <t>Human</t>
  </si>
  <si>
    <t>AMST 1050</t>
  </si>
  <si>
    <t>AMST 1160</t>
  </si>
  <si>
    <t>AMST 1200</t>
  </si>
  <si>
    <t>AMST 2010</t>
  </si>
  <si>
    <t>AMST 2011</t>
  </si>
  <si>
    <t>AMST 2020</t>
  </si>
  <si>
    <t>AMST 2020W</t>
  </si>
  <si>
    <t>AMST 2120W</t>
  </si>
  <si>
    <t>AMST 2210</t>
  </si>
  <si>
    <t>AMST 2320</t>
  </si>
  <si>
    <t>AMST 2350</t>
  </si>
  <si>
    <t>AMST 2380</t>
  </si>
  <si>
    <t>AMST 2385</t>
  </si>
  <si>
    <t>AMST 2385W</t>
  </si>
  <si>
    <t>AMST 2410</t>
  </si>
  <si>
    <t>AMST 2430</t>
  </si>
  <si>
    <t>AMST 2440</t>
  </si>
  <si>
    <t>AMST 2521</t>
  </si>
  <si>
    <t>AMST 2600</t>
  </si>
  <si>
    <t>AMST 2610</t>
  </si>
  <si>
    <t>AMST 2610W</t>
  </si>
  <si>
    <t>AMST 2620</t>
  </si>
  <si>
    <t>AMST 2630</t>
  </si>
  <si>
    <t>AMST 2710</t>
  </si>
  <si>
    <t>AMST 2730</t>
  </si>
  <si>
    <t>AMST 2730W</t>
  </si>
  <si>
    <t>AMST 2750W</t>
  </si>
  <si>
    <t>AMST 3352</t>
  </si>
  <si>
    <t>AMST 3352W</t>
  </si>
  <si>
    <t>ANTH 2750</t>
  </si>
  <si>
    <t>ANTH 2750W</t>
  </si>
  <si>
    <t>CHIN 3111</t>
  </si>
  <si>
    <t>CHIN 3112</t>
  </si>
  <si>
    <t>CHIN 3123</t>
  </si>
  <si>
    <t>CHIN 3124</t>
  </si>
  <si>
    <t>CHIN 3163</t>
  </si>
  <si>
    <t>CHIN 3173</t>
  </si>
  <si>
    <t>CLAS 1001</t>
  </si>
  <si>
    <t>CLAS 2107</t>
  </si>
  <si>
    <t>EALL 3811</t>
  </si>
  <si>
    <t>EALL 3814</t>
  </si>
  <si>
    <t>EALL 3814W</t>
  </si>
  <si>
    <t>ENGL 1050</t>
  </si>
  <si>
    <t>ENGL 1300</t>
  </si>
  <si>
    <t>ENGL 1315</t>
  </si>
  <si>
    <t>ENGL 1320</t>
  </si>
  <si>
    <t>ENGL 1320W</t>
  </si>
  <si>
    <t>ENGL 1330</t>
  </si>
  <si>
    <t>ENGL 1330W</t>
  </si>
  <si>
    <t>ENGL 1340</t>
  </si>
  <si>
    <t>ENGL 1340W</t>
  </si>
  <si>
    <t>ENGL 1351</t>
  </si>
  <si>
    <t>ENGL 1360</t>
  </si>
  <si>
    <t>ENGL 1365</t>
  </si>
  <si>
    <t>ENGL 2100</t>
  </si>
  <si>
    <t>ENGL 2410</t>
  </si>
  <si>
    <t>ENGL 2410W</t>
  </si>
  <si>
    <t>ENGL 2411</t>
  </si>
  <si>
    <t>ENGL 2411W</t>
  </si>
  <si>
    <t>ENGL 2510</t>
  </si>
  <si>
    <t>ENGL 2510W</t>
  </si>
  <si>
    <t>ENGL 2511</t>
  </si>
  <si>
    <t>ENGL 2511W</t>
  </si>
  <si>
    <t>ENGL 2610</t>
  </si>
  <si>
    <t>ENGL 2610W</t>
  </si>
  <si>
    <t>ENGL 2611</t>
  </si>
  <si>
    <t>ENGL 2611W</t>
  </si>
  <si>
    <t>ENGL 2710</t>
  </si>
  <si>
    <t>ENGL 2710W</t>
  </si>
  <si>
    <t>ENGL 2711</t>
  </si>
  <si>
    <t>ENGL 2711W</t>
  </si>
  <si>
    <t>ENGL 3400</t>
  </si>
  <si>
    <t>ENGL 3446</t>
  </si>
  <si>
    <t>ENGL 3621</t>
  </si>
  <si>
    <t>ENGL 3730</t>
  </si>
  <si>
    <t>ENGL 3730W</t>
  </si>
  <si>
    <t>ENGL 3910</t>
  </si>
  <si>
    <t>ENGL 3918</t>
  </si>
  <si>
    <t>FREN 2006</t>
  </si>
  <si>
    <t>FREN 2500</t>
  </si>
  <si>
    <t>FREN 3500</t>
  </si>
  <si>
    <t>FREN 3700</t>
  </si>
  <si>
    <t>FREN 4540</t>
  </si>
  <si>
    <t>GER 2091</t>
  </si>
  <si>
    <t>GER 2092</t>
  </si>
  <si>
    <t>GER 2161</t>
  </si>
  <si>
    <t>GER 2162</t>
  </si>
  <si>
    <t>GER 3182</t>
  </si>
  <si>
    <t>GER 3187</t>
  </si>
  <si>
    <t>GREK 1001</t>
  </si>
  <si>
    <t>GTCH 3103</t>
  </si>
  <si>
    <t>HEBR 1001</t>
  </si>
  <si>
    <t>HIST 1011</t>
  </si>
  <si>
    <t>HIST 1020</t>
  </si>
  <si>
    <t>HIST 1110</t>
  </si>
  <si>
    <t>HIST 1120</t>
  </si>
  <si>
    <t>HIST 1120W</t>
  </si>
  <si>
    <t>HIST 1121</t>
  </si>
  <si>
    <t>HIST 1310</t>
  </si>
  <si>
    <t>HIST 1311</t>
  </si>
  <si>
    <t>HIST 2010</t>
  </si>
  <si>
    <t>HIST 2011</t>
  </si>
  <si>
    <t>HIST 2020</t>
  </si>
  <si>
    <t>HIST 2020W</t>
  </si>
  <si>
    <t>HIST 2050</t>
  </si>
  <si>
    <t>HIST 2060</t>
  </si>
  <si>
    <t>HIST 2124</t>
  </si>
  <si>
    <t>HIST 2125</t>
  </si>
  <si>
    <t>HIST 2131</t>
  </si>
  <si>
    <t>HIST 2141</t>
  </si>
  <si>
    <t>HIST 2160</t>
  </si>
  <si>
    <t>HIST 2312</t>
  </si>
  <si>
    <t>HIST 2313</t>
  </si>
  <si>
    <t>HIST 2320</t>
  </si>
  <si>
    <t>HIST 2321</t>
  </si>
  <si>
    <t>HIST 2322</t>
  </si>
  <si>
    <t>HIST 2350</t>
  </si>
  <si>
    <t>HIST 2380</t>
  </si>
  <si>
    <t>HIST 2410</t>
  </si>
  <si>
    <t>HIST 2440</t>
  </si>
  <si>
    <t>HIST 2440W</t>
  </si>
  <si>
    <t>HIST 2520</t>
  </si>
  <si>
    <t>HIST 2610</t>
  </si>
  <si>
    <t>HIST 2610W</t>
  </si>
  <si>
    <t>HIST 2630</t>
  </si>
  <si>
    <t>HIT 2730</t>
  </si>
  <si>
    <t>HIST 2730W</t>
  </si>
  <si>
    <t>HIST 2811</t>
  </si>
  <si>
    <t>HIST 2850</t>
  </si>
  <si>
    <t>HIST 3044W</t>
  </si>
  <si>
    <t>HIST 3352</t>
  </si>
  <si>
    <t>HIST 3352W</t>
  </si>
  <si>
    <t>HIST 3360</t>
  </si>
  <si>
    <t>HIST 3361</t>
  </si>
  <si>
    <t>HIST 3611</t>
  </si>
  <si>
    <t>HIST 3811</t>
  </si>
  <si>
    <t>HONR 1016</t>
  </si>
  <si>
    <t>HONR 2053</t>
  </si>
  <si>
    <t>HONR 2053W</t>
  </si>
  <si>
    <t>ITAL 4184</t>
  </si>
  <si>
    <t>ITAL 4100</t>
  </si>
  <si>
    <t>ITAL 4380</t>
  </si>
  <si>
    <t>JAPN 3111</t>
  </si>
  <si>
    <t>JAPN 3112</t>
  </si>
  <si>
    <t>JSTD 2060</t>
  </si>
  <si>
    <t>KOR 3111</t>
  </si>
  <si>
    <t>KOR 3112</t>
  </si>
  <si>
    <t>KOR 3123</t>
  </si>
  <si>
    <t>KOR 3124</t>
  </si>
  <si>
    <t>LATN 3001</t>
  </si>
  <si>
    <t>LATN 3001W</t>
  </si>
  <si>
    <t>LATN 3002</t>
  </si>
  <si>
    <t>LATN 3002W</t>
  </si>
  <si>
    <t>PHIL 1051</t>
  </si>
  <si>
    <t>PHIL 1153</t>
  </si>
  <si>
    <t>PHIL 2124</t>
  </si>
  <si>
    <t>PHIL 2124W</t>
  </si>
  <si>
    <t>PHIL 2125</t>
  </si>
  <si>
    <t>PHIL 2125W</t>
  </si>
  <si>
    <t>PHIL 2131</t>
  </si>
  <si>
    <t>PHIL 2132</t>
  </si>
  <si>
    <t>PHIL 2132W</t>
  </si>
  <si>
    <t>PHIL 2133</t>
  </si>
  <si>
    <t>PHIL 2134</t>
  </si>
  <si>
    <t>PHIL 2136</t>
  </si>
  <si>
    <t>PHIL 2140</t>
  </si>
  <si>
    <t>PHIL 2281</t>
  </si>
  <si>
    <t>PHIL 3142</t>
  </si>
  <si>
    <t>PHIL 3142W</t>
  </si>
  <si>
    <t>PHIL 3151</t>
  </si>
  <si>
    <t>PHIL 3153</t>
  </si>
  <si>
    <t>PSC 2120W</t>
  </si>
  <si>
    <t>PSTD 1010</t>
  </si>
  <si>
    <t>REL 1010</t>
  </si>
  <si>
    <t>REL 1010W</t>
  </si>
  <si>
    <t>REL 2165</t>
  </si>
  <si>
    <t>REL 2169</t>
  </si>
  <si>
    <t>REL 2201</t>
  </si>
  <si>
    <t>REL 2301</t>
  </si>
  <si>
    <t>REL 2314</t>
  </si>
  <si>
    <t>REL 2401</t>
  </si>
  <si>
    <t>REL 2501</t>
  </si>
  <si>
    <t>REL 2562</t>
  </si>
  <si>
    <t>REL 2811</t>
  </si>
  <si>
    <t>REL 2814</t>
  </si>
  <si>
    <t>REL 2981</t>
  </si>
  <si>
    <t>REL 3149</t>
  </si>
  <si>
    <t>REL 3151</t>
  </si>
  <si>
    <t>REL 3151W</t>
  </si>
  <si>
    <t>REL 3161</t>
  </si>
  <si>
    <t>REL 3161W</t>
  </si>
  <si>
    <t>REL 3405</t>
  </si>
  <si>
    <t>REL 3923</t>
  </si>
  <si>
    <t>REL 3614</t>
  </si>
  <si>
    <t>SLAV 2310</t>
  </si>
  <si>
    <t>SPAN 2005</t>
  </si>
  <si>
    <t>SPAN 2006</t>
  </si>
  <si>
    <t>SPAN 2056</t>
  </si>
  <si>
    <t>SPAN 3100</t>
  </si>
  <si>
    <t>UNIV 1006</t>
  </si>
  <si>
    <t>WGSS 1020</t>
  </si>
  <si>
    <t>WGSS 2225</t>
  </si>
  <si>
    <t>WGSS 2380</t>
  </si>
  <si>
    <t>WGSS 2385</t>
  </si>
  <si>
    <t>WGSS 2385W</t>
  </si>
  <si>
    <t>WGSS 3352</t>
  </si>
  <si>
    <t>WGSS 3353</t>
  </si>
  <si>
    <t>WGSS 3981</t>
  </si>
  <si>
    <t>WLP 1020</t>
  </si>
  <si>
    <t>Tech Elec</t>
  </si>
  <si>
    <t>ECE</t>
  </si>
  <si>
    <t>CE</t>
  </si>
  <si>
    <t>MAE</t>
  </si>
  <si>
    <t>EMSE</t>
  </si>
  <si>
    <t>ACCY</t>
  </si>
  <si>
    <t>IBUS</t>
  </si>
  <si>
    <t>PHYS</t>
  </si>
  <si>
    <t>NSC</t>
  </si>
  <si>
    <t xml:space="preserve">BME </t>
  </si>
  <si>
    <t>APSC 2057</t>
  </si>
  <si>
    <t>APSC 2058</t>
  </si>
  <si>
    <t>CSCI 2441W</t>
  </si>
  <si>
    <t>RP</t>
  </si>
  <si>
    <t>CSCI 1012</t>
  </si>
  <si>
    <t>EMSE 4571</t>
  </si>
  <si>
    <t>EMSE 4572</t>
  </si>
  <si>
    <t>FA 21</t>
  </si>
  <si>
    <t>EMSE ELEC 1***</t>
  </si>
  <si>
    <t>EMSE ELEC 2***</t>
  </si>
  <si>
    <t>PROF ELEC 1****</t>
  </si>
  <si>
    <t>PROF ELEC 2****</t>
  </si>
  <si>
    <t>EMSE ELEC 3***</t>
  </si>
  <si>
    <t>PROF ELEC 3****</t>
  </si>
  <si>
    <t>PROF ELEC 4****</t>
  </si>
  <si>
    <t>PROF ELEC 5****</t>
  </si>
  <si>
    <t>Sci Elec 1*</t>
  </si>
  <si>
    <t>* Students select from BISC 1115 plus</t>
  </si>
  <si>
    <t>**</t>
  </si>
  <si>
    <t>HUM ELEC**</t>
  </si>
  <si>
    <t>SS ELEC**</t>
  </si>
  <si>
    <t>Students select 1 humanities and one social science</t>
  </si>
  <si>
    <t xml:space="preserve"> from the University Gen Ed Humanities and Social </t>
  </si>
  <si>
    <t>Science list</t>
  </si>
  <si>
    <t>In consultation with the faculty advisor,the student</t>
  </si>
  <si>
    <t>selects three approved courses from a single focus</t>
  </si>
  <si>
    <t xml:space="preserve"> area from the EMSE Department</t>
  </si>
  <si>
    <t>SE majors will gain specific expertise in a chosen</t>
  </si>
  <si>
    <t xml:space="preserve">leading to a minor from another department </t>
  </si>
  <si>
    <t>technical area by taking a sequence of courses</t>
  </si>
  <si>
    <t>FA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</si>
</sst>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theme="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20" fillId="24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0" fontId="0" fillId="24" borderId="0" xfId="0" applyFill="1"/>
    <xf numFmtId="0" fontId="20" fillId="0" borderId="10" xfId="0" applyFont="1" applyFill="1" applyBorder="1" applyAlignment="1"/>
    <xf numFmtId="0" fontId="0" fillId="0" borderId="0" xfId="0" applyFill="1"/>
    <xf numFmtId="0" fontId="24" fillId="0" borderId="10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Alignment="1"/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0" xfId="0" applyFill="1" applyAlignment="1"/>
    <xf numFmtId="0" fontId="20" fillId="0" borderId="11" xfId="0" applyFont="1" applyFill="1" applyBorder="1" applyAlignment="1"/>
    <xf numFmtId="0" fontId="20" fillId="0" borderId="11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11" xfId="0" applyFill="1" applyBorder="1" applyAlignment="1"/>
    <xf numFmtId="49" fontId="20" fillId="0" borderId="13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0" fillId="0" borderId="12" xfId="0" applyFont="1" applyFill="1" applyBorder="1" applyAlignment="1"/>
    <xf numFmtId="49" fontId="0" fillId="0" borderId="12" xfId="0" applyNumberFormat="1" applyFill="1" applyBorder="1" applyAlignment="1"/>
    <xf numFmtId="0" fontId="20" fillId="0" borderId="14" xfId="0" applyFont="1" applyFill="1" applyBorder="1" applyAlignment="1">
      <alignment horizontal="left"/>
    </xf>
    <xf numFmtId="49" fontId="20" fillId="0" borderId="11" xfId="0" applyNumberFormat="1" applyFont="1" applyFill="1" applyBorder="1" applyAlignment="1"/>
    <xf numFmtId="0" fontId="20" fillId="0" borderId="11" xfId="0" applyFont="1" applyFill="1" applyBorder="1" applyAlignment="1">
      <alignment horizontal="left"/>
    </xf>
    <xf numFmtId="49" fontId="20" fillId="0" borderId="12" xfId="0" applyNumberFormat="1" applyFont="1" applyFill="1" applyBorder="1" applyAlignment="1"/>
    <xf numFmtId="0" fontId="20" fillId="0" borderId="12" xfId="0" applyFont="1" applyFill="1" applyBorder="1" applyAlignment="1">
      <alignment horizontal="right"/>
    </xf>
    <xf numFmtId="0" fontId="20" fillId="0" borderId="15" xfId="0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14" fontId="20" fillId="0" borderId="0" xfId="0" applyNumberFormat="1" applyFont="1" applyFill="1" applyBorder="1" applyAlignment="1"/>
    <xf numFmtId="0" fontId="23" fillId="0" borderId="10" xfId="0" applyFont="1" applyFill="1" applyBorder="1" applyAlignment="1"/>
    <xf numFmtId="0" fontId="20" fillId="0" borderId="16" xfId="0" applyFont="1" applyFill="1" applyBorder="1" applyAlignment="1"/>
    <xf numFmtId="0" fontId="15" fillId="0" borderId="0" xfId="0" applyFont="1" applyFill="1"/>
    <xf numFmtId="0" fontId="25" fillId="0" borderId="0" xfId="0" applyFont="1" applyFill="1"/>
    <xf numFmtId="0" fontId="1" fillId="0" borderId="0" xfId="0" applyFont="1" applyFill="1"/>
    <xf numFmtId="0" fontId="22" fillId="0" borderId="0" xfId="0" applyFont="1" applyFill="1"/>
    <xf numFmtId="164" fontId="0" fillId="0" borderId="0" xfId="0" applyNumberFormat="1" applyFill="1"/>
    <xf numFmtId="0" fontId="0" fillId="0" borderId="17" xfId="0" applyFill="1" applyBorder="1"/>
    <xf numFmtId="0" fontId="0" fillId="0" borderId="18" xfId="0" applyFill="1" applyBorder="1"/>
    <xf numFmtId="164" fontId="0" fillId="0" borderId="18" xfId="0" applyNumberFormat="1" applyFill="1" applyBorder="1"/>
    <xf numFmtId="0" fontId="0" fillId="0" borderId="19" xfId="0" applyFill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/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/>
    <xf numFmtId="2" fontId="28" fillId="0" borderId="0" xfId="0" applyNumberFormat="1" applyFont="1" applyFill="1" applyBorder="1" applyAlignment="1"/>
    <xf numFmtId="0" fontId="28" fillId="0" borderId="0" xfId="0" applyFont="1" applyFill="1"/>
    <xf numFmtId="0" fontId="27" fillId="0" borderId="15" xfId="0" applyFont="1" applyFill="1" applyBorder="1" applyAlignment="1"/>
    <xf numFmtId="0" fontId="27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/>
    <xf numFmtId="0" fontId="29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Alignment="1"/>
    <xf numFmtId="0" fontId="30" fillId="0" borderId="0" xfId="0" applyFont="1" applyFill="1"/>
    <xf numFmtId="0" fontId="26" fillId="0" borderId="18" xfId="0" applyFont="1" applyFill="1" applyBorder="1"/>
    <xf numFmtId="2" fontId="27" fillId="0" borderId="0" xfId="0" applyNumberFormat="1" applyFont="1" applyFill="1" applyBorder="1" applyAlignment="1"/>
    <xf numFmtId="0" fontId="26" fillId="0" borderId="11" xfId="0" applyFont="1" applyFill="1" applyBorder="1" applyAlignment="1">
      <alignment horizontal="left"/>
    </xf>
    <xf numFmtId="49" fontId="26" fillId="0" borderId="12" xfId="0" applyNumberFormat="1" applyFont="1" applyFill="1" applyBorder="1" applyAlignment="1"/>
    <xf numFmtId="14" fontId="27" fillId="0" borderId="0" xfId="0" applyNumberFormat="1" applyFont="1" applyFill="1" applyBorder="1" applyAlignment="1"/>
    <xf numFmtId="0" fontId="21" fillId="0" borderId="0" xfId="0" applyFont="1" applyFill="1"/>
    <xf numFmtId="0" fontId="21" fillId="0" borderId="0" xfId="0" applyFont="1" applyFill="1" applyBorder="1"/>
    <xf numFmtId="0" fontId="21" fillId="0" borderId="18" xfId="0" applyFont="1" applyFill="1" applyBorder="1"/>
    <xf numFmtId="0" fontId="15" fillId="0" borderId="0" xfId="0" applyFont="1" applyFill="1" applyBorder="1"/>
    <xf numFmtId="0" fontId="21" fillId="0" borderId="20" xfId="0" applyFont="1" applyFill="1" applyBorder="1"/>
    <xf numFmtId="0" fontId="21" fillId="0" borderId="21" xfId="0" applyFont="1" applyFill="1" applyBorder="1"/>
    <xf numFmtId="0" fontId="21" fillId="0" borderId="22" xfId="0" applyFont="1" applyFill="1" applyBorder="1"/>
    <xf numFmtId="0" fontId="21" fillId="0" borderId="23" xfId="0" applyFont="1" applyFill="1" applyBorder="1"/>
    <xf numFmtId="0" fontId="21" fillId="0" borderId="24" xfId="0" applyFont="1" applyFill="1" applyBorder="1"/>
    <xf numFmtId="0" fontId="21" fillId="0" borderId="25" xfId="0" applyFont="1" applyFill="1" applyBorder="1"/>
    <xf numFmtId="0" fontId="21" fillId="0" borderId="26" xfId="0" applyFont="1" applyFill="1" applyBorder="1"/>
    <xf numFmtId="0" fontId="15" fillId="0" borderId="0" xfId="0" applyFont="1"/>
    <xf numFmtId="0" fontId="21" fillId="0" borderId="10" xfId="0" applyFont="1" applyFill="1" applyBorder="1" applyAlignment="1"/>
    <xf numFmtId="1" fontId="20" fillId="0" borderId="0" xfId="0" applyNumberFormat="1" applyFont="1" applyFill="1" applyBorder="1" applyAlignment="1"/>
    <xf numFmtId="0" fontId="15" fillId="25" borderId="0" xfId="0" applyFont="1" applyFill="1"/>
    <xf numFmtId="49" fontId="23" fillId="0" borderId="0" xfId="0" applyNumberFormat="1" applyFont="1" applyFill="1" applyAlignment="1">
      <alignment horizontal="left"/>
    </xf>
    <xf numFmtId="49" fontId="15" fillId="0" borderId="0" xfId="0" applyNumberFormat="1" applyFont="1" applyFill="1"/>
    <xf numFmtId="0" fontId="21" fillId="0" borderId="0" xfId="0" applyFont="1"/>
    <xf numFmtId="0" fontId="0" fillId="0" borderId="0" xfId="0" applyFill="1" applyAlignment="1">
      <alignment horizontal="center"/>
    </xf>
    <xf numFmtId="0" fontId="1" fillId="0" borderId="0" xfId="0" applyFont="1" applyFill="1" applyBorder="1"/>
    <xf numFmtId="0" fontId="31" fillId="0" borderId="16" xfId="0" applyFont="1" applyFill="1" applyBorder="1" applyAlignment="1"/>
    <xf numFmtId="0" fontId="15" fillId="25" borderId="10" xfId="0" applyFont="1" applyFill="1" applyBorder="1"/>
    <xf numFmtId="0" fontId="1" fillId="0" borderId="0" xfId="0" applyFont="1"/>
    <xf numFmtId="0" fontId="32" fillId="0" borderId="0" xfId="0" applyFont="1"/>
    <xf numFmtId="0" fontId="25" fillId="0" borderId="0" xfId="0" applyFont="1" applyFill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1" fillId="0" borderId="20" xfId="0" applyFont="1" applyBorder="1"/>
    <xf numFmtId="0" fontId="21" fillId="0" borderId="0" xfId="0" applyFont="1" applyBorder="1"/>
    <xf numFmtId="0" fontId="21" fillId="0" borderId="21" xfId="0" applyFont="1" applyBorder="1"/>
    <xf numFmtId="0" fontId="1" fillId="26" borderId="0" xfId="0" applyFont="1" applyFill="1"/>
    <xf numFmtId="0" fontId="0" fillId="0" borderId="0" xfId="0" applyFill="1" applyAlignment="1">
      <alignment horizontal="center"/>
    </xf>
    <xf numFmtId="0" fontId="33" fillId="0" borderId="0" xfId="0" applyFont="1" applyFill="1"/>
    <xf numFmtId="0" fontId="33" fillId="27" borderId="0" xfId="0" applyFont="1" applyFill="1"/>
    <xf numFmtId="0" fontId="21" fillId="26" borderId="27" xfId="0" applyFont="1" applyFill="1" applyBorder="1"/>
    <xf numFmtId="0" fontId="21" fillId="26" borderId="25" xfId="0" applyFont="1" applyFill="1" applyBorder="1"/>
    <xf numFmtId="0" fontId="21" fillId="26" borderId="26" xfId="0" applyFont="1" applyFill="1" applyBorder="1"/>
    <xf numFmtId="0" fontId="21" fillId="0" borderId="27" xfId="0" applyFont="1" applyBorder="1"/>
    <xf numFmtId="0" fontId="21" fillId="0" borderId="25" xfId="0" applyFont="1" applyBorder="1"/>
    <xf numFmtId="0" fontId="21" fillId="0" borderId="26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5" fillId="0" borderId="27" xfId="0" applyFont="1" applyFill="1" applyBorder="1"/>
    <xf numFmtId="0" fontId="1" fillId="0" borderId="25" xfId="0" applyFont="1" applyFill="1" applyBorder="1"/>
    <xf numFmtId="0" fontId="15" fillId="0" borderId="26" xfId="0" applyFont="1" applyFill="1" applyBorder="1"/>
    <xf numFmtId="0" fontId="21" fillId="0" borderId="27" xfId="0" applyFont="1" applyFill="1" applyBorder="1"/>
    <xf numFmtId="0" fontId="0" fillId="0" borderId="0" xfId="0" applyFill="1" applyAlignment="1">
      <alignment horizontal="center"/>
    </xf>
    <xf numFmtId="0" fontId="21" fillId="0" borderId="10" xfId="0" applyFont="1" applyBorder="1"/>
    <xf numFmtId="0" fontId="20" fillId="0" borderId="0" xfId="0" applyFont="1" applyFill="1"/>
    <xf numFmtId="0" fontId="20" fillId="0" borderId="0" xfId="0" applyFont="1"/>
    <xf numFmtId="0" fontId="1" fillId="26" borderId="17" xfId="0" applyFont="1" applyFill="1" applyBorder="1" applyAlignment="1">
      <alignment horizontal="center"/>
    </xf>
    <xf numFmtId="0" fontId="0" fillId="26" borderId="19" xfId="0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0" fontId="20" fillId="0" borderId="13" xfId="0" applyFont="1" applyFill="1" applyBorder="1" applyAlignment="1"/>
    <xf numFmtId="0" fontId="20" fillId="0" borderId="12" xfId="0" applyFont="1" applyFill="1" applyBorder="1" applyAlignment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/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/>
    <xf numFmtId="0" fontId="23" fillId="0" borderId="11" xfId="0" applyFont="1" applyFill="1" applyBorder="1" applyAlignment="1"/>
    <xf numFmtId="49" fontId="0" fillId="0" borderId="12" xfId="0" applyNumberFormat="1" applyFill="1" applyBorder="1" applyAlignment="1"/>
    <xf numFmtId="0" fontId="0" fillId="0" borderId="12" xfId="0" applyNumberFormat="1" applyFill="1" applyBorder="1" applyAlignment="1"/>
    <xf numFmtId="0" fontId="23" fillId="0" borderId="11" xfId="0" applyFont="1" applyFill="1" applyBorder="1" applyAlignment="1">
      <alignment horizontal="right"/>
    </xf>
    <xf numFmtId="0" fontId="22" fillId="0" borderId="11" xfId="0" applyFont="1" applyFill="1" applyBorder="1" applyAlignment="1"/>
    <xf numFmtId="0" fontId="1" fillId="0" borderId="11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20" fillId="0" borderId="11" xfId="0" applyFont="1" applyFill="1" applyBorder="1" applyAlignment="1"/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20" fillId="0" borderId="11" xfId="0" applyFont="1" applyBorder="1"/>
    <xf numFmtId="0" fontId="0" fillId="0" borderId="11" xfId="0" applyBorder="1"/>
    <xf numFmtId="0" fontId="22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/>
    <xf numFmtId="0" fontId="23" fillId="0" borderId="12" xfId="0" applyFont="1" applyFill="1" applyBorder="1" applyAlignment="1">
      <alignment horizontal="right"/>
    </xf>
    <xf numFmtId="0" fontId="22" fillId="0" borderId="12" xfId="0" applyFont="1" applyFill="1" applyBorder="1" applyAlignment="1"/>
    <xf numFmtId="49" fontId="1" fillId="0" borderId="12" xfId="0" applyNumberFormat="1" applyFont="1" applyFill="1" applyBorder="1" applyAlignment="1"/>
    <xf numFmtId="0" fontId="22" fillId="0" borderId="12" xfId="0" applyFont="1" applyFill="1" applyBorder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5"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425"/>
  <sheetViews>
    <sheetView tabSelected="1" zoomScale="200" zoomScaleNormal="200" workbookViewId="0"/>
  </sheetViews>
  <sheetFormatPr baseColWidth="10" defaultColWidth="8.83203125" defaultRowHeight="13" x14ac:dyDescent="0.15"/>
  <cols>
    <col min="1" max="1" width="3.6640625" style="9" customWidth="1"/>
    <col min="2" max="2" width="12.5" style="9" customWidth="1"/>
    <col min="3" max="3" width="9.6640625" style="9" customWidth="1"/>
    <col min="4" max="4" width="3.6640625" style="9" customWidth="1"/>
    <col min="5" max="5" width="6.6640625" style="9" customWidth="1"/>
    <col min="6" max="6" width="1.33203125" style="55" customWidth="1"/>
    <col min="7" max="7" width="1.5" style="55" customWidth="1"/>
    <col min="8" max="8" width="2.6640625" style="9" customWidth="1"/>
    <col min="9" max="9" width="12.33203125" style="9" customWidth="1"/>
    <col min="10" max="10" width="10" style="9" customWidth="1"/>
    <col min="11" max="11" width="3.6640625" style="9" customWidth="1"/>
    <col min="12" max="12" width="6.6640625" style="9" customWidth="1"/>
    <col min="13" max="13" width="0.6640625" style="55" customWidth="1"/>
    <col min="14" max="14" width="1.5" style="55" customWidth="1"/>
    <col min="15" max="15" width="3.5" style="9" customWidth="1"/>
    <col min="16" max="16" width="10.6640625" style="9" customWidth="1"/>
    <col min="17" max="17" width="8.6640625" style="9" customWidth="1"/>
    <col min="18" max="18" width="3.6640625" style="9" customWidth="1"/>
    <col min="19" max="19" width="8.33203125" style="9" customWidth="1"/>
    <col min="20" max="20" width="7.5" customWidth="1"/>
    <col min="22" max="23" width="4.5" customWidth="1"/>
    <col min="25" max="25" width="14.5" customWidth="1"/>
    <col min="27" max="27" width="4" customWidth="1"/>
    <col min="41" max="41" width="8.6640625" customWidth="1"/>
  </cols>
  <sheetData>
    <row r="1" spans="1:65" ht="14" thickBot="1" x14ac:dyDescent="0.2">
      <c r="A1" s="5"/>
      <c r="B1" s="22"/>
      <c r="C1" s="22"/>
      <c r="D1" s="163" t="s">
        <v>20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22"/>
      <c r="R1" s="22"/>
      <c r="S1" s="22"/>
      <c r="T1" s="2"/>
      <c r="U1" s="3"/>
      <c r="V1" s="9"/>
      <c r="W1" s="9"/>
      <c r="X1" s="9"/>
      <c r="Y1" s="9"/>
      <c r="Z1" s="9"/>
      <c r="AA1" s="9"/>
      <c r="AB1" s="9"/>
      <c r="AE1" s="128" t="s">
        <v>382</v>
      </c>
      <c r="AF1" s="129"/>
      <c r="AH1" s="111" t="s">
        <v>129</v>
      </c>
      <c r="AI1" s="112" t="s">
        <v>130</v>
      </c>
      <c r="AJ1" s="112" t="s">
        <v>131</v>
      </c>
      <c r="AK1" s="112" t="s">
        <v>126</v>
      </c>
      <c r="AL1" s="112" t="s">
        <v>132</v>
      </c>
      <c r="AM1" s="112" t="s">
        <v>133</v>
      </c>
      <c r="AN1" s="112" t="s">
        <v>127</v>
      </c>
      <c r="AO1" s="112" t="s">
        <v>336</v>
      </c>
      <c r="AP1" s="112" t="s">
        <v>128</v>
      </c>
      <c r="AQ1" s="112" t="s">
        <v>134</v>
      </c>
      <c r="AR1" s="112" t="s">
        <v>135</v>
      </c>
      <c r="AS1" s="112" t="s">
        <v>136</v>
      </c>
      <c r="AT1" s="112" t="s">
        <v>137</v>
      </c>
      <c r="AU1" s="112" t="s">
        <v>273</v>
      </c>
      <c r="AV1" s="112" t="s">
        <v>285</v>
      </c>
      <c r="AW1" s="112" t="s">
        <v>300</v>
      </c>
      <c r="AX1" s="112" t="s">
        <v>313</v>
      </c>
      <c r="AY1" s="112" t="s">
        <v>314</v>
      </c>
      <c r="AZ1" s="112" t="s">
        <v>315</v>
      </c>
      <c r="BA1" s="112" t="s">
        <v>316</v>
      </c>
      <c r="BB1" s="113" t="s">
        <v>299</v>
      </c>
    </row>
    <row r="2" spans="1:65" x14ac:dyDescent="0.15">
      <c r="A2" s="12"/>
      <c r="B2" s="14"/>
      <c r="C2" s="14"/>
      <c r="D2" s="164" t="str">
        <f>"20"&amp;RIGHT(P6,2)&amp;" - 20"&amp;RIGHT(P6,2)+4</f>
        <v>2022 - 2026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24"/>
      <c r="R2" s="14"/>
      <c r="S2" s="14"/>
      <c r="T2" s="4"/>
      <c r="U2" s="5"/>
      <c r="V2" s="9"/>
      <c r="W2" s="9"/>
      <c r="X2" s="9"/>
      <c r="Y2" s="9"/>
      <c r="Z2" s="9"/>
      <c r="AA2" s="9"/>
      <c r="AB2" s="9"/>
      <c r="AE2" s="98" t="s">
        <v>4</v>
      </c>
      <c r="AF2" s="99">
        <v>4</v>
      </c>
      <c r="AH2" s="114" t="s">
        <v>138</v>
      </c>
      <c r="AI2" s="115" t="s">
        <v>73</v>
      </c>
      <c r="AJ2" s="115" t="s">
        <v>72</v>
      </c>
      <c r="AK2" s="115" t="s">
        <v>72</v>
      </c>
      <c r="AL2" s="115" t="s">
        <v>178</v>
      </c>
      <c r="AM2" s="115" t="s">
        <v>73</v>
      </c>
      <c r="AN2" s="115" t="s">
        <v>203</v>
      </c>
      <c r="AO2" s="115" t="s">
        <v>224</v>
      </c>
      <c r="AP2" s="115" t="s">
        <v>72</v>
      </c>
      <c r="AQ2" s="115" t="s">
        <v>73</v>
      </c>
      <c r="AR2" s="115" t="s">
        <v>256</v>
      </c>
      <c r="AS2" s="115" t="s">
        <v>71</v>
      </c>
      <c r="AT2" s="115" t="s">
        <v>72</v>
      </c>
      <c r="AU2" s="115" t="s">
        <v>274</v>
      </c>
      <c r="AV2" s="115" t="s">
        <v>286</v>
      </c>
      <c r="AW2" s="115" t="s">
        <v>72</v>
      </c>
      <c r="AX2" s="115" t="s">
        <v>303</v>
      </c>
      <c r="AY2" s="115" t="s">
        <v>74</v>
      </c>
      <c r="AZ2" s="115" t="s">
        <v>224</v>
      </c>
      <c r="BA2" s="115" t="s">
        <v>74</v>
      </c>
      <c r="BB2" s="116" t="s">
        <v>329</v>
      </c>
    </row>
    <row r="3" spans="1:65" x14ac:dyDescent="0.15">
      <c r="A3" s="25"/>
      <c r="B3" s="21"/>
      <c r="C3" s="21"/>
      <c r="D3" s="143" t="s">
        <v>21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69" t="s">
        <v>22</v>
      </c>
      <c r="R3" s="167"/>
      <c r="S3" s="26">
        <f>SUM(A11:A17,H11:H17,H22:H28,A22:A28,A33:A39,H33:H39,H44:H50,A44:A50)</f>
        <v>129</v>
      </c>
      <c r="T3" s="6"/>
      <c r="U3" s="3"/>
      <c r="V3" s="9"/>
      <c r="W3" s="9"/>
      <c r="X3" s="9"/>
      <c r="Y3" s="9" t="s">
        <v>113</v>
      </c>
      <c r="Z3" s="9">
        <f>C5</f>
        <v>0</v>
      </c>
      <c r="AA3" s="9"/>
      <c r="AB3" s="9"/>
      <c r="AE3" s="100" t="s">
        <v>5</v>
      </c>
      <c r="AF3" s="101">
        <v>3.7</v>
      </c>
      <c r="AH3" s="104" t="s">
        <v>139</v>
      </c>
      <c r="AI3" s="105" t="s">
        <v>91</v>
      </c>
      <c r="AJ3" s="105" t="s">
        <v>71</v>
      </c>
      <c r="AK3" s="105" t="s">
        <v>74</v>
      </c>
      <c r="AL3" s="105" t="s">
        <v>179</v>
      </c>
      <c r="AM3" s="105" t="s">
        <v>151</v>
      </c>
      <c r="AN3" s="105" t="s">
        <v>204</v>
      </c>
      <c r="AO3" s="105" t="s">
        <v>225</v>
      </c>
      <c r="AP3" s="105" t="s">
        <v>71</v>
      </c>
      <c r="AQ3" s="105" t="s">
        <v>91</v>
      </c>
      <c r="AR3" s="105" t="s">
        <v>257</v>
      </c>
      <c r="AS3" s="105" t="s">
        <v>64</v>
      </c>
      <c r="AT3" s="105" t="s">
        <v>71</v>
      </c>
      <c r="AU3" s="105" t="s">
        <v>275</v>
      </c>
      <c r="AV3" s="105" t="s">
        <v>287</v>
      </c>
      <c r="AW3" s="105" t="s">
        <v>71</v>
      </c>
      <c r="AX3" s="105" t="s">
        <v>304</v>
      </c>
      <c r="AY3" s="105" t="s">
        <v>317</v>
      </c>
      <c r="AZ3" s="105" t="s">
        <v>321</v>
      </c>
      <c r="BA3" s="105" t="s">
        <v>79</v>
      </c>
      <c r="BB3" s="106" t="s">
        <v>330</v>
      </c>
    </row>
    <row r="4" spans="1:65" x14ac:dyDescent="0.15">
      <c r="A4" s="27"/>
      <c r="B4" s="28"/>
      <c r="C4" s="28"/>
      <c r="D4" s="28"/>
      <c r="E4" s="28"/>
      <c r="F4" s="54"/>
      <c r="G4" s="54"/>
      <c r="H4" s="28"/>
      <c r="I4" s="28"/>
      <c r="J4" s="28"/>
      <c r="K4" s="28"/>
      <c r="L4" s="28"/>
      <c r="M4" s="54"/>
      <c r="N4" s="54"/>
      <c r="O4" s="28"/>
      <c r="P4" s="28"/>
      <c r="Q4" s="29"/>
      <c r="R4" s="3"/>
      <c r="S4" s="30"/>
      <c r="T4" s="6"/>
      <c r="U4" s="3"/>
      <c r="V4" s="9"/>
      <c r="W4" s="9"/>
      <c r="X4" s="9"/>
      <c r="Y4" s="9" t="s">
        <v>114</v>
      </c>
      <c r="Z4">
        <f>P5</f>
        <v>0</v>
      </c>
      <c r="AE4" s="100" t="s">
        <v>14</v>
      </c>
      <c r="AF4" s="101">
        <v>3.3</v>
      </c>
      <c r="AH4" s="104" t="s">
        <v>140</v>
      </c>
      <c r="AI4" s="105" t="s">
        <v>150</v>
      </c>
      <c r="AJ4" s="105" t="s">
        <v>64</v>
      </c>
      <c r="AK4" s="105" t="s">
        <v>75</v>
      </c>
      <c r="AL4" s="105" t="s">
        <v>180</v>
      </c>
      <c r="AM4" s="105" t="s">
        <v>91</v>
      </c>
      <c r="AN4" s="105" t="s">
        <v>206</v>
      </c>
      <c r="AO4" s="105" t="s">
        <v>226</v>
      </c>
      <c r="AP4" s="105" t="s">
        <v>75</v>
      </c>
      <c r="AQ4" s="105" t="s">
        <v>151</v>
      </c>
      <c r="AR4" s="105" t="s">
        <v>258</v>
      </c>
      <c r="AS4" s="105" t="s">
        <v>67</v>
      </c>
      <c r="AT4" s="105" t="s">
        <v>64</v>
      </c>
      <c r="AU4" s="105" t="s">
        <v>276</v>
      </c>
      <c r="AV4" s="105" t="s">
        <v>288</v>
      </c>
      <c r="AW4" s="105" t="s">
        <v>64</v>
      </c>
      <c r="AX4" s="105" t="s">
        <v>304</v>
      </c>
      <c r="AY4" s="105" t="s">
        <v>318</v>
      </c>
      <c r="AZ4" s="105" t="s">
        <v>140</v>
      </c>
      <c r="BA4" s="105" t="s">
        <v>92</v>
      </c>
      <c r="BB4" s="106" t="s">
        <v>140</v>
      </c>
    </row>
    <row r="5" spans="1:65" x14ac:dyDescent="0.15">
      <c r="A5" s="150" t="s">
        <v>23</v>
      </c>
      <c r="B5" s="150"/>
      <c r="C5" s="161"/>
      <c r="D5" s="162"/>
      <c r="E5" s="162"/>
      <c r="F5" s="162"/>
      <c r="G5" s="162"/>
      <c r="H5" s="162"/>
      <c r="I5" s="162"/>
      <c r="J5" s="162"/>
      <c r="K5" s="162"/>
      <c r="L5" s="153" t="s">
        <v>24</v>
      </c>
      <c r="M5" s="154"/>
      <c r="N5" s="154"/>
      <c r="O5" s="154"/>
      <c r="P5" s="155"/>
      <c r="Q5" s="140"/>
      <c r="R5" s="140"/>
      <c r="S5" s="140"/>
      <c r="T5" s="6"/>
      <c r="U5" s="3"/>
      <c r="V5" s="9"/>
      <c r="W5" s="9"/>
      <c r="X5" s="9"/>
      <c r="Y5" s="9" t="s">
        <v>115</v>
      </c>
      <c r="Z5" s="84" t="s">
        <v>116</v>
      </c>
      <c r="AE5" s="100" t="s">
        <v>13</v>
      </c>
      <c r="AF5" s="101">
        <v>3</v>
      </c>
      <c r="AH5" s="104" t="s">
        <v>140</v>
      </c>
      <c r="AI5" s="105" t="s">
        <v>151</v>
      </c>
      <c r="AJ5" s="105" t="s">
        <v>90</v>
      </c>
      <c r="AK5" s="105" t="s">
        <v>167</v>
      </c>
      <c r="AL5" s="105" t="s">
        <v>181</v>
      </c>
      <c r="AM5" s="105" t="s">
        <v>192</v>
      </c>
      <c r="AN5" s="105" t="s">
        <v>205</v>
      </c>
      <c r="AO5" s="105" t="s">
        <v>227</v>
      </c>
      <c r="AP5" s="105" t="s">
        <v>167</v>
      </c>
      <c r="AQ5" s="105" t="s">
        <v>190</v>
      </c>
      <c r="AR5" s="105" t="s">
        <v>259</v>
      </c>
      <c r="AS5" s="105" t="s">
        <v>73</v>
      </c>
      <c r="AT5" s="105" t="s">
        <v>73</v>
      </c>
      <c r="AU5" s="105" t="s">
        <v>277</v>
      </c>
      <c r="AV5" s="105" t="s">
        <v>289</v>
      </c>
      <c r="AW5" s="105" t="s">
        <v>90</v>
      </c>
      <c r="AX5" s="105" t="s">
        <v>304</v>
      </c>
      <c r="AY5" s="105" t="s">
        <v>319</v>
      </c>
      <c r="AZ5" s="105" t="s">
        <v>140</v>
      </c>
      <c r="BA5" s="105" t="s">
        <v>325</v>
      </c>
      <c r="BB5" s="106" t="s">
        <v>140</v>
      </c>
    </row>
    <row r="6" spans="1:65" x14ac:dyDescent="0.15">
      <c r="A6" s="165" t="s">
        <v>25</v>
      </c>
      <c r="B6" s="165"/>
      <c r="C6" s="138" t="s">
        <v>112</v>
      </c>
      <c r="D6" s="149"/>
      <c r="E6" s="149"/>
      <c r="F6" s="149"/>
      <c r="G6" s="149"/>
      <c r="H6" s="149"/>
      <c r="I6" s="149"/>
      <c r="J6" s="149"/>
      <c r="K6" s="149"/>
      <c r="L6" s="166" t="s">
        <v>26</v>
      </c>
      <c r="M6" s="167"/>
      <c r="N6" s="167"/>
      <c r="O6" s="167"/>
      <c r="P6" s="168" t="s">
        <v>633</v>
      </c>
      <c r="Q6" s="149"/>
      <c r="R6" s="149"/>
      <c r="S6" s="149"/>
      <c r="T6" s="7"/>
      <c r="U6" s="95"/>
      <c r="V6" s="9"/>
      <c r="W6" s="9"/>
      <c r="X6" s="9"/>
      <c r="Y6" s="9" t="s">
        <v>117</v>
      </c>
      <c r="Z6" s="84" t="str">
        <f>Q43</f>
        <v>ME</v>
      </c>
      <c r="AE6" s="100" t="s">
        <v>12</v>
      </c>
      <c r="AF6" s="101">
        <v>2.7</v>
      </c>
      <c r="AH6" s="104" t="s">
        <v>140</v>
      </c>
      <c r="AI6" s="105" t="s">
        <v>152</v>
      </c>
      <c r="AJ6" s="105" t="s">
        <v>91</v>
      </c>
      <c r="AK6" s="105" t="s">
        <v>168</v>
      </c>
      <c r="AL6" s="105" t="s">
        <v>182</v>
      </c>
      <c r="AM6" s="105" t="s">
        <v>190</v>
      </c>
      <c r="AN6" s="105" t="s">
        <v>605</v>
      </c>
      <c r="AO6" s="105" t="s">
        <v>140</v>
      </c>
      <c r="AP6" s="105" t="s">
        <v>245</v>
      </c>
      <c r="AQ6" s="105" t="s">
        <v>152</v>
      </c>
      <c r="AR6" s="105" t="s">
        <v>140</v>
      </c>
      <c r="AS6" s="105" t="s">
        <v>140</v>
      </c>
      <c r="AT6" s="105" t="s">
        <v>90</v>
      </c>
      <c r="AU6" s="105" t="s">
        <v>140</v>
      </c>
      <c r="AV6" s="105" t="s">
        <v>140</v>
      </c>
      <c r="AW6" s="105" t="s">
        <v>91</v>
      </c>
      <c r="AX6" s="105" t="s">
        <v>304</v>
      </c>
      <c r="AY6" s="105" t="s">
        <v>320</v>
      </c>
      <c r="AZ6" s="105" t="s">
        <v>140</v>
      </c>
      <c r="BA6" s="105" t="s">
        <v>87</v>
      </c>
      <c r="BB6" s="106" t="s">
        <v>140</v>
      </c>
      <c r="BM6" s="95"/>
    </row>
    <row r="7" spans="1:65" x14ac:dyDescent="0.15">
      <c r="T7" s="9"/>
      <c r="U7" s="9"/>
      <c r="V7" s="9"/>
      <c r="W7" s="9"/>
      <c r="Y7" s="9"/>
      <c r="AE7" s="100" t="s">
        <v>7</v>
      </c>
      <c r="AF7" s="101">
        <v>2.2999999999999998</v>
      </c>
      <c r="AH7" s="104" t="s">
        <v>140</v>
      </c>
      <c r="AI7" s="105" t="s">
        <v>140</v>
      </c>
      <c r="AJ7" s="105" t="s">
        <v>164</v>
      </c>
      <c r="AK7" s="105" t="s">
        <v>140</v>
      </c>
      <c r="AL7" s="105" t="s">
        <v>183</v>
      </c>
      <c r="AM7" s="105" t="s">
        <v>191</v>
      </c>
      <c r="AN7" s="105" t="s">
        <v>140</v>
      </c>
      <c r="AO7" s="105" t="s">
        <v>140</v>
      </c>
      <c r="AP7" s="105" t="s">
        <v>246</v>
      </c>
      <c r="AQ7" s="105" t="s">
        <v>140</v>
      </c>
      <c r="AR7" s="105" t="s">
        <v>140</v>
      </c>
      <c r="AS7" s="105" t="s">
        <v>140</v>
      </c>
      <c r="AT7" s="105" t="s">
        <v>603</v>
      </c>
      <c r="AU7" s="105" t="s">
        <v>140</v>
      </c>
      <c r="AV7" s="105" t="s">
        <v>140</v>
      </c>
      <c r="AW7" s="105" t="s">
        <v>164</v>
      </c>
      <c r="AX7" s="105" t="s">
        <v>140</v>
      </c>
      <c r="AY7" s="105" t="s">
        <v>320</v>
      </c>
      <c r="AZ7" s="105" t="s">
        <v>140</v>
      </c>
      <c r="BA7" s="105" t="s">
        <v>140</v>
      </c>
      <c r="BB7" s="106" t="s">
        <v>140</v>
      </c>
      <c r="BM7" s="95"/>
    </row>
    <row r="8" spans="1:65" x14ac:dyDescent="0.15">
      <c r="A8" s="13" t="s">
        <v>27</v>
      </c>
      <c r="B8" s="12"/>
      <c r="C8" s="88">
        <f>2000+RIGHT(P6,2)</f>
        <v>2022</v>
      </c>
      <c r="D8" s="14"/>
      <c r="E8" s="15"/>
      <c r="F8" s="56"/>
      <c r="H8" s="13" t="s">
        <v>28</v>
      </c>
      <c r="I8" s="12"/>
      <c r="J8" s="13">
        <f>C8+1</f>
        <v>2023</v>
      </c>
      <c r="K8" s="14"/>
      <c r="L8" s="15"/>
      <c r="M8" s="56"/>
      <c r="T8" s="9"/>
      <c r="U8" s="9"/>
      <c r="V8" s="9"/>
      <c r="W8" s="9"/>
      <c r="Y8" s="9" t="s">
        <v>118</v>
      </c>
      <c r="Z8" s="90">
        <f>C38</f>
        <v>0</v>
      </c>
      <c r="AA8" s="90"/>
      <c r="AB8" s="90"/>
      <c r="AE8" s="100" t="s">
        <v>3</v>
      </c>
      <c r="AF8" s="101">
        <v>2</v>
      </c>
      <c r="AH8" s="104"/>
      <c r="AI8" s="105" t="s">
        <v>140</v>
      </c>
      <c r="AJ8" s="105" t="s">
        <v>165</v>
      </c>
      <c r="AK8" s="105" t="s">
        <v>140</v>
      </c>
      <c r="AL8" s="105" t="s">
        <v>184</v>
      </c>
      <c r="AM8" s="105" t="s">
        <v>140</v>
      </c>
      <c r="AN8" s="105"/>
      <c r="AO8" s="105"/>
      <c r="AP8" s="105" t="s">
        <v>140</v>
      </c>
      <c r="AQ8" s="105" t="s">
        <v>140</v>
      </c>
      <c r="AR8" s="105"/>
      <c r="AS8" s="105"/>
      <c r="AT8" s="105" t="s">
        <v>604</v>
      </c>
      <c r="AU8" s="105" t="s">
        <v>140</v>
      </c>
      <c r="AV8" s="105"/>
      <c r="AW8" s="105" t="s">
        <v>140</v>
      </c>
      <c r="AX8" s="105"/>
      <c r="AY8" s="105" t="s">
        <v>320</v>
      </c>
      <c r="AZ8" s="105"/>
      <c r="BA8" s="105"/>
      <c r="BB8" s="106"/>
      <c r="BM8" s="95"/>
    </row>
    <row r="9" spans="1:65" x14ac:dyDescent="0.15">
      <c r="A9" s="16" t="s">
        <v>29</v>
      </c>
      <c r="B9" s="16"/>
      <c r="C9" s="16"/>
      <c r="D9" s="17" t="s">
        <v>30</v>
      </c>
      <c r="E9" s="18">
        <f>SUM(A11:A17)</f>
        <v>16</v>
      </c>
      <c r="F9" s="57"/>
      <c r="H9" s="16" t="s">
        <v>31</v>
      </c>
      <c r="I9" s="16"/>
      <c r="J9" s="16"/>
      <c r="K9" s="17" t="s">
        <v>30</v>
      </c>
      <c r="L9" s="18">
        <f>SUM(H11:H17)</f>
        <v>16</v>
      </c>
      <c r="M9" s="57"/>
      <c r="O9" s="9" t="s">
        <v>32</v>
      </c>
      <c r="T9" s="9"/>
      <c r="U9" s="9"/>
      <c r="V9" s="9"/>
      <c r="W9" s="9"/>
      <c r="Y9" s="9"/>
      <c r="Z9" s="90"/>
      <c r="AA9" s="90"/>
      <c r="AB9" s="90"/>
      <c r="AE9" s="100" t="s">
        <v>11</v>
      </c>
      <c r="AF9" s="101">
        <v>1.7</v>
      </c>
      <c r="AH9" s="104"/>
      <c r="AI9" s="105"/>
      <c r="AJ9" s="105" t="s">
        <v>166</v>
      </c>
      <c r="AK9" s="105" t="s">
        <v>140</v>
      </c>
      <c r="AL9" s="105" t="s">
        <v>185</v>
      </c>
      <c r="AM9" s="105" t="s">
        <v>140</v>
      </c>
      <c r="AN9" s="105"/>
      <c r="AO9" s="105"/>
      <c r="AP9" s="105" t="s">
        <v>140</v>
      </c>
      <c r="AQ9" s="105" t="s">
        <v>140</v>
      </c>
      <c r="AR9" s="105"/>
      <c r="AS9" s="105"/>
      <c r="AT9" s="105" t="s">
        <v>268</v>
      </c>
      <c r="AU9" s="105" t="s">
        <v>140</v>
      </c>
      <c r="AV9" s="105"/>
      <c r="AW9" s="105" t="s">
        <v>140</v>
      </c>
      <c r="AX9" s="105"/>
      <c r="AY9" s="105"/>
      <c r="AZ9" s="105"/>
      <c r="BA9" s="105"/>
      <c r="BB9" s="106"/>
      <c r="BM9" s="95"/>
    </row>
    <row r="10" spans="1:65" x14ac:dyDescent="0.15">
      <c r="A10" s="8" t="s">
        <v>33</v>
      </c>
      <c r="B10" s="8" t="s">
        <v>1</v>
      </c>
      <c r="C10" s="10" t="s">
        <v>34</v>
      </c>
      <c r="D10" s="8" t="s">
        <v>35</v>
      </c>
      <c r="E10" s="8" t="s">
        <v>36</v>
      </c>
      <c r="F10" s="58"/>
      <c r="H10" s="8" t="s">
        <v>33</v>
      </c>
      <c r="I10" s="8" t="s">
        <v>1</v>
      </c>
      <c r="J10" s="10" t="s">
        <v>34</v>
      </c>
      <c r="K10" s="8" t="s">
        <v>35</v>
      </c>
      <c r="L10" s="8" t="s">
        <v>36</v>
      </c>
      <c r="M10" s="58"/>
      <c r="O10" s="8" t="s">
        <v>33</v>
      </c>
      <c r="P10" s="8" t="s">
        <v>1</v>
      </c>
      <c r="Q10" s="10" t="s">
        <v>34</v>
      </c>
      <c r="R10" s="8" t="s">
        <v>35</v>
      </c>
      <c r="S10" s="8" t="s">
        <v>36</v>
      </c>
      <c r="T10" s="11"/>
      <c r="U10" s="9"/>
      <c r="V10" s="9"/>
      <c r="W10" s="9"/>
      <c r="Y10" s="9" t="s">
        <v>119</v>
      </c>
      <c r="Z10" s="90" t="str">
        <f>J26</f>
        <v/>
      </c>
      <c r="AA10" s="90"/>
      <c r="AB10" s="90"/>
      <c r="AE10" s="100" t="s">
        <v>10</v>
      </c>
      <c r="AF10" s="101">
        <v>1.3</v>
      </c>
      <c r="AH10" s="104"/>
      <c r="AI10" s="105"/>
      <c r="AJ10" s="105"/>
      <c r="AK10" s="105" t="s">
        <v>140</v>
      </c>
      <c r="AL10" s="105" t="s">
        <v>140</v>
      </c>
      <c r="AM10" s="105"/>
      <c r="AN10" s="105"/>
      <c r="AO10" s="105"/>
      <c r="AP10" s="105"/>
      <c r="AQ10" s="105"/>
      <c r="AR10" s="105"/>
      <c r="AS10" s="105"/>
      <c r="AT10" s="105" t="s">
        <v>269</v>
      </c>
      <c r="AU10" s="105"/>
      <c r="AV10" s="105"/>
      <c r="AW10" s="105"/>
      <c r="AX10" s="105"/>
      <c r="AY10" s="105"/>
      <c r="AZ10" s="105"/>
      <c r="BA10" s="105"/>
      <c r="BB10" s="106"/>
      <c r="BM10" s="95"/>
    </row>
    <row r="11" spans="1:65" x14ac:dyDescent="0.15">
      <c r="A11" s="10">
        <v>3</v>
      </c>
      <c r="B11" s="85" t="s">
        <v>607</v>
      </c>
      <c r="C11" s="10" t="str">
        <f t="shared" ref="C11:C17" si="0">IF($V11="","",IF(INDEX($B$93:$G$164,$V11,2)=$B11,"",INDEX($B$93:$G$164,$V11,2)))</f>
        <v/>
      </c>
      <c r="D11" s="10" t="str">
        <f t="shared" ref="D11:D17" si="1">IF($V11="","",INDEX($B$93:$G$164,$V11,4))</f>
        <v/>
      </c>
      <c r="E11" s="85" t="str">
        <f t="shared" ref="E11:E17" si="2">IF($V11="","",INDEX($B$93:$G$164,$V11,1))</f>
        <v/>
      </c>
      <c r="F11" s="59" t="e">
        <f t="shared" ref="F11:F17" si="3">IF(ISNUMBER(D11),D11*A11,IF(ISBLANK(D11),0,VLOOKUP(D11,$A$52:$B$54,2,FALSE)*A11))</f>
        <v>#N/A</v>
      </c>
      <c r="G11" s="60"/>
      <c r="H11" s="10">
        <v>3</v>
      </c>
      <c r="I11" s="85" t="s">
        <v>89</v>
      </c>
      <c r="J11" s="85" t="str">
        <f t="shared" ref="J11:J17" si="4">IF($W11="","",IF(INDEX($B$93:$G$164,$W11,2)=$I11,"",INDEX($B$93:$G$164,$W11,2)))</f>
        <v/>
      </c>
      <c r="K11" s="10" t="str">
        <f t="shared" ref="K11:K17" si="5">IF($W11="","",INDEX($B$93:$G$164,$W11,4))</f>
        <v/>
      </c>
      <c r="L11" s="10" t="str">
        <f t="shared" ref="L11:L17" si="6">IF($W11="","",INDEX($B$93:$G$164,$W11,1))</f>
        <v/>
      </c>
      <c r="M11" s="69" t="e">
        <f t="shared" ref="M11:M17" si="7">IF(ISNUMBER(K11),K11*H11,IF(ISBLANK(K11),0,VLOOKUP(K11,$A$52:$B$54,2,FALSE)*H11))</f>
        <v>#N/A</v>
      </c>
      <c r="O11" s="8" t="str">
        <f t="shared" ref="O11:O22" si="8">IF($T11="","",INDEX($B$93:$G$164,$T11,3))</f>
        <v/>
      </c>
      <c r="P11" s="8" t="str">
        <f t="shared" ref="P11:P22" si="9">IF($T11="","",INDEX($B$93:$G$164,$T11,2))</f>
        <v/>
      </c>
      <c r="Q11" s="8"/>
      <c r="R11" s="8" t="str">
        <f t="shared" ref="R11:R22" si="10">IF($T11="","",INDEX($B$93:$G$164,$T11,4))</f>
        <v/>
      </c>
      <c r="S11" s="8" t="str">
        <f t="shared" ref="S11:S22" si="11">IF($T11="","",INDEX($B$93:$G$164,$T11,1))</f>
        <v/>
      </c>
      <c r="T11" s="86"/>
      <c r="U11" s="9">
        <v>1</v>
      </c>
      <c r="V11" s="94" t="str">
        <f>IF(ISNUMBER(MATCH("CSCI 1012",$C$93:$C$168,0)),MATCH("CSCI 1012",$C$93:$C$168,0),"")</f>
        <v/>
      </c>
      <c r="W11" s="94" t="str">
        <f>IF(ISNUMBER(MATCH("COMM 104*",$C$93:$C$168,0)),MATCH("COMM 104*",$C$93:$C$168,0),"")</f>
        <v/>
      </c>
      <c r="Z11" s="90"/>
      <c r="AA11" s="90"/>
      <c r="AB11" s="90"/>
      <c r="AE11" s="100" t="s">
        <v>9</v>
      </c>
      <c r="AF11" s="101">
        <v>1</v>
      </c>
      <c r="AH11" s="104"/>
      <c r="AI11" s="105"/>
      <c r="AJ11" s="105"/>
      <c r="AK11" s="105" t="s">
        <v>140</v>
      </c>
      <c r="AL11" s="105"/>
      <c r="AM11" s="105"/>
      <c r="AN11" s="105"/>
      <c r="AO11" s="105"/>
      <c r="AP11" s="105"/>
      <c r="AQ11" s="105"/>
      <c r="AR11" s="105"/>
      <c r="AS11" s="105"/>
      <c r="AT11" s="105" t="s">
        <v>270</v>
      </c>
      <c r="AU11" s="105"/>
      <c r="AV11" s="105"/>
      <c r="AW11" s="105"/>
      <c r="AX11" s="105"/>
      <c r="AY11" s="105"/>
      <c r="AZ11" s="105"/>
      <c r="BA11" s="105"/>
      <c r="BB11" s="106"/>
      <c r="BM11" s="95"/>
    </row>
    <row r="12" spans="1:65" ht="14" thickBot="1" x14ac:dyDescent="0.2">
      <c r="A12" s="10">
        <v>1</v>
      </c>
      <c r="B12" s="10" t="s">
        <v>68</v>
      </c>
      <c r="C12" s="10" t="str">
        <f t="shared" si="0"/>
        <v/>
      </c>
      <c r="D12" s="10" t="str">
        <f t="shared" si="1"/>
        <v/>
      </c>
      <c r="E12" s="85" t="str">
        <f t="shared" si="2"/>
        <v/>
      </c>
      <c r="F12" s="59" t="e">
        <f t="shared" si="3"/>
        <v>#N/A</v>
      </c>
      <c r="G12" s="60"/>
      <c r="H12" s="10">
        <v>3</v>
      </c>
      <c r="I12" s="10" t="s">
        <v>75</v>
      </c>
      <c r="J12" s="85" t="str">
        <f t="shared" si="4"/>
        <v/>
      </c>
      <c r="K12" s="10" t="str">
        <f t="shared" si="5"/>
        <v/>
      </c>
      <c r="L12" s="10" t="str">
        <f t="shared" si="6"/>
        <v/>
      </c>
      <c r="M12" s="69" t="e">
        <f t="shared" si="7"/>
        <v>#N/A</v>
      </c>
      <c r="O12" s="8" t="str">
        <f t="shared" si="8"/>
        <v/>
      </c>
      <c r="P12" s="8" t="str">
        <f t="shared" si="9"/>
        <v/>
      </c>
      <c r="Q12" s="8"/>
      <c r="R12" s="8" t="str">
        <f t="shared" si="10"/>
        <v/>
      </c>
      <c r="S12" s="8" t="str">
        <f t="shared" si="11"/>
        <v/>
      </c>
      <c r="T12" s="86"/>
      <c r="U12" s="9">
        <f t="shared" ref="U12:U50" si="12">U11+1</f>
        <v>2</v>
      </c>
      <c r="V12" s="94" t="str">
        <f>IF(ISNUMBER(MATCH(B12,$C$93:$C$168,0)),MATCH(B12,$C$93:$C$168,0),IF(ISNUMBER(MATCH("BME 1010",$C$93:$C$168,0)),MATCH("BME 1010",$C$93:$C$168,0),IF(ISNUMBER(MATCH("CE 1010",$C$93:$C$168,0)),MATCH("CE 1010",$C$93:$C$168,0),IF(ISNUMBER(MATCH("CSCI 1010",$C$93:$C$168,0)),MATCH("CSCI 1010",$C$93:$C$168,0),IF(ISNUMBER(MATCH("ECE 1010",$C$93:$C$168,0)),MATCH("ECE 1010",$C$93:$C$168,0),IF(ISNUMBER(MATCH("MAE 1001",$C$93:$C$168,0)),MATCH("MAE 1001",$C$93:$C$168,0),IF(ISNUMBER(MATCH("APSC 1001",$C$93:$C$168,0)),MATCH("APSC 1001",$C$93:$C$168,0),"")))))))</f>
        <v/>
      </c>
      <c r="W12" s="94" t="str">
        <f t="shared" ref="W12:W17" si="13">IF(ISNUMBER(MATCH(I12,$C$93:$C$168,0)),MATCH(I12,$C$93:$C$168,0),"")</f>
        <v/>
      </c>
      <c r="Y12" s="9"/>
      <c r="Z12" s="90" t="str">
        <f>J45</f>
        <v/>
      </c>
      <c r="AA12" s="90"/>
      <c r="AB12" s="90"/>
      <c r="AE12" s="100" t="s">
        <v>6</v>
      </c>
      <c r="AF12" s="101">
        <v>0.7</v>
      </c>
      <c r="AH12" s="117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80" t="s">
        <v>140</v>
      </c>
      <c r="AU12" s="118"/>
      <c r="AV12" s="118"/>
      <c r="AW12" s="118"/>
      <c r="AX12" s="118"/>
      <c r="AY12" s="118"/>
      <c r="AZ12" s="118"/>
      <c r="BA12" s="118"/>
      <c r="BB12" s="119"/>
    </row>
    <row r="13" spans="1:65" x14ac:dyDescent="0.15">
      <c r="A13" s="10">
        <v>3</v>
      </c>
      <c r="B13" s="10" t="s">
        <v>72</v>
      </c>
      <c r="C13" s="10" t="str">
        <f t="shared" si="0"/>
        <v/>
      </c>
      <c r="D13" s="10" t="str">
        <f t="shared" si="1"/>
        <v/>
      </c>
      <c r="E13" s="85" t="str">
        <f t="shared" si="2"/>
        <v/>
      </c>
      <c r="F13" s="59" t="e">
        <f t="shared" si="3"/>
        <v>#N/A</v>
      </c>
      <c r="G13" s="60"/>
      <c r="H13" s="10">
        <v>3</v>
      </c>
      <c r="I13" s="85" t="s">
        <v>608</v>
      </c>
      <c r="J13" s="85" t="str">
        <f t="shared" si="4"/>
        <v/>
      </c>
      <c r="K13" s="10" t="str">
        <f t="shared" si="5"/>
        <v/>
      </c>
      <c r="L13" s="10" t="str">
        <f t="shared" si="6"/>
        <v/>
      </c>
      <c r="M13" s="69" t="e">
        <f t="shared" si="7"/>
        <v>#N/A</v>
      </c>
      <c r="O13" s="8" t="str">
        <f t="shared" si="8"/>
        <v/>
      </c>
      <c r="P13" s="8" t="str">
        <f t="shared" si="9"/>
        <v/>
      </c>
      <c r="Q13" s="8"/>
      <c r="R13" s="8" t="str">
        <f t="shared" si="10"/>
        <v/>
      </c>
      <c r="S13" s="8" t="str">
        <f t="shared" si="11"/>
        <v/>
      </c>
      <c r="T13" s="86"/>
      <c r="U13" s="9">
        <f t="shared" si="12"/>
        <v>3</v>
      </c>
      <c r="V13" s="94" t="str">
        <f t="shared" ref="V13:V15" si="14">IF(ISNUMBER(MATCH(B13,$C$93:$C$168,0)),MATCH(B13,$C$93:$C$168,0),"")</f>
        <v/>
      </c>
      <c r="W13" s="94" t="str">
        <f t="shared" si="13"/>
        <v/>
      </c>
      <c r="Y13" s="45" t="s">
        <v>120</v>
      </c>
      <c r="Z13" s="90" t="str">
        <f>C37</f>
        <v/>
      </c>
      <c r="AA13" s="90"/>
      <c r="AB13" s="90"/>
      <c r="AE13" s="100" t="s">
        <v>8</v>
      </c>
      <c r="AF13" s="101">
        <v>0</v>
      </c>
    </row>
    <row r="14" spans="1:65" x14ac:dyDescent="0.15">
      <c r="A14" s="10">
        <v>1</v>
      </c>
      <c r="B14" s="10" t="s">
        <v>69</v>
      </c>
      <c r="C14" s="10" t="str">
        <f t="shared" si="0"/>
        <v/>
      </c>
      <c r="D14" s="10" t="str">
        <f t="shared" si="1"/>
        <v/>
      </c>
      <c r="E14" s="85" t="str">
        <f t="shared" si="2"/>
        <v/>
      </c>
      <c r="F14" s="59" t="e">
        <f t="shared" si="3"/>
        <v>#N/A</v>
      </c>
      <c r="G14" s="60"/>
      <c r="H14" s="10">
        <v>3</v>
      </c>
      <c r="I14" s="10" t="s">
        <v>71</v>
      </c>
      <c r="J14" s="85" t="str">
        <f t="shared" si="4"/>
        <v/>
      </c>
      <c r="K14" s="10" t="str">
        <f t="shared" si="5"/>
        <v/>
      </c>
      <c r="L14" s="10" t="str">
        <f t="shared" si="6"/>
        <v/>
      </c>
      <c r="M14" s="69" t="e">
        <f t="shared" si="7"/>
        <v>#N/A</v>
      </c>
      <c r="O14" s="8" t="str">
        <f t="shared" si="8"/>
        <v/>
      </c>
      <c r="P14" s="8" t="str">
        <f t="shared" si="9"/>
        <v/>
      </c>
      <c r="Q14" s="8"/>
      <c r="R14" s="8" t="str">
        <f t="shared" si="10"/>
        <v/>
      </c>
      <c r="S14" s="8" t="str">
        <f t="shared" si="11"/>
        <v/>
      </c>
      <c r="T14" s="86"/>
      <c r="U14" s="9">
        <f t="shared" si="12"/>
        <v>4</v>
      </c>
      <c r="V14" s="94" t="str">
        <f t="shared" si="14"/>
        <v/>
      </c>
      <c r="W14" s="94" t="str">
        <f t="shared" si="13"/>
        <v/>
      </c>
      <c r="Z14" s="90" t="str">
        <f>J37</f>
        <v/>
      </c>
      <c r="AB14" s="90"/>
      <c r="AE14" s="100" t="s">
        <v>111</v>
      </c>
      <c r="AF14" s="101">
        <v>0</v>
      </c>
      <c r="AH14" s="96" t="s">
        <v>162</v>
      </c>
      <c r="AI14" s="96" t="s">
        <v>163</v>
      </c>
      <c r="AJ14" s="90"/>
      <c r="AK14" s="96" t="s">
        <v>169</v>
      </c>
      <c r="AL14" s="96" t="s">
        <v>186</v>
      </c>
      <c r="AM14" s="96" t="s">
        <v>163</v>
      </c>
      <c r="AN14" s="96" t="s">
        <v>163</v>
      </c>
      <c r="AO14" s="96" t="s">
        <v>163</v>
      </c>
      <c r="AP14" s="96" t="s">
        <v>163</v>
      </c>
      <c r="AQ14" s="96" t="s">
        <v>163</v>
      </c>
      <c r="AR14" s="96" t="s">
        <v>163</v>
      </c>
      <c r="AS14" s="96" t="s">
        <v>163</v>
      </c>
      <c r="AT14" s="96" t="s">
        <v>186</v>
      </c>
      <c r="AU14" s="96" t="s">
        <v>284</v>
      </c>
      <c r="AV14" s="96" t="s">
        <v>163</v>
      </c>
      <c r="AW14" s="96" t="s">
        <v>163</v>
      </c>
      <c r="AX14" s="96" t="s">
        <v>186</v>
      </c>
      <c r="AY14" s="96"/>
      <c r="AZ14" s="96" t="s">
        <v>284</v>
      </c>
      <c r="BA14" s="96" t="s">
        <v>186</v>
      </c>
      <c r="BB14" s="96" t="s">
        <v>331</v>
      </c>
    </row>
    <row r="15" spans="1:65" x14ac:dyDescent="0.15">
      <c r="A15" s="10">
        <v>4</v>
      </c>
      <c r="B15" s="10" t="s">
        <v>70</v>
      </c>
      <c r="C15" s="10" t="str">
        <f t="shared" si="0"/>
        <v/>
      </c>
      <c r="D15" s="10" t="str">
        <f t="shared" si="1"/>
        <v/>
      </c>
      <c r="E15" s="85" t="str">
        <f t="shared" si="2"/>
        <v/>
      </c>
      <c r="F15" s="59" t="e">
        <f t="shared" si="3"/>
        <v>#N/A</v>
      </c>
      <c r="G15" s="60"/>
      <c r="H15" s="85">
        <v>4</v>
      </c>
      <c r="I15" s="85" t="s">
        <v>90</v>
      </c>
      <c r="J15" s="85" t="str">
        <f t="shared" si="4"/>
        <v/>
      </c>
      <c r="K15" s="10" t="str">
        <f t="shared" si="5"/>
        <v/>
      </c>
      <c r="L15" s="10" t="str">
        <f t="shared" si="6"/>
        <v/>
      </c>
      <c r="M15" s="69" t="e">
        <f t="shared" si="7"/>
        <v>#N/A</v>
      </c>
      <c r="O15" s="8" t="str">
        <f t="shared" si="8"/>
        <v/>
      </c>
      <c r="P15" s="8" t="str">
        <f t="shared" si="9"/>
        <v/>
      </c>
      <c r="Q15" s="8"/>
      <c r="R15" s="8" t="str">
        <f t="shared" si="10"/>
        <v/>
      </c>
      <c r="S15" s="8" t="str">
        <f t="shared" si="11"/>
        <v/>
      </c>
      <c r="T15" s="86"/>
      <c r="U15" s="9">
        <f t="shared" si="12"/>
        <v>5</v>
      </c>
      <c r="V15" s="94" t="str">
        <f t="shared" si="14"/>
        <v/>
      </c>
      <c r="W15" s="94" t="str">
        <f t="shared" si="13"/>
        <v/>
      </c>
      <c r="AB15" s="90"/>
      <c r="AE15" s="100" t="s">
        <v>109</v>
      </c>
      <c r="AF15" s="101">
        <v>0</v>
      </c>
      <c r="AH15" s="90" t="s">
        <v>159</v>
      </c>
      <c r="AI15" s="90" t="s">
        <v>153</v>
      </c>
      <c r="AJ15" s="90"/>
      <c r="AK15" s="90" t="s">
        <v>170</v>
      </c>
      <c r="AL15" s="90" t="s">
        <v>145</v>
      </c>
      <c r="AM15" s="90" t="s">
        <v>193</v>
      </c>
      <c r="AN15" s="90" t="s">
        <v>207</v>
      </c>
      <c r="AO15" s="90" t="s">
        <v>228</v>
      </c>
      <c r="AP15" s="90" t="s">
        <v>247</v>
      </c>
      <c r="AQ15" s="90" t="s">
        <v>250</v>
      </c>
      <c r="AR15" s="90" t="s">
        <v>260</v>
      </c>
      <c r="AS15" s="90" t="s">
        <v>266</v>
      </c>
      <c r="AT15" s="90" t="s">
        <v>271</v>
      </c>
      <c r="AU15" s="90" t="s">
        <v>280</v>
      </c>
      <c r="AV15" s="90" t="s">
        <v>290</v>
      </c>
      <c r="AW15" s="90" t="s">
        <v>301</v>
      </c>
      <c r="AX15" s="90" t="s">
        <v>312</v>
      </c>
      <c r="AZ15" s="90" t="s">
        <v>322</v>
      </c>
      <c r="BA15" s="90" t="s">
        <v>326</v>
      </c>
      <c r="BB15" s="90" t="s">
        <v>332</v>
      </c>
    </row>
    <row r="16" spans="1:65" x14ac:dyDescent="0.15">
      <c r="A16" s="10">
        <f>IF(OR(C16="BISC 1115",C16="BISC 1116"),3,4)</f>
        <v>4</v>
      </c>
      <c r="B16" s="85" t="s">
        <v>619</v>
      </c>
      <c r="C16" s="10" t="str">
        <f t="shared" si="0"/>
        <v/>
      </c>
      <c r="D16" s="10" t="str">
        <f t="shared" si="1"/>
        <v/>
      </c>
      <c r="E16" s="85" t="str">
        <f t="shared" si="2"/>
        <v/>
      </c>
      <c r="F16" s="59" t="e">
        <f t="shared" si="3"/>
        <v>#N/A</v>
      </c>
      <c r="G16" s="60"/>
      <c r="H16" s="10"/>
      <c r="I16" s="10"/>
      <c r="J16" s="85" t="str">
        <f t="shared" si="4"/>
        <v/>
      </c>
      <c r="K16" s="10" t="str">
        <f t="shared" si="5"/>
        <v/>
      </c>
      <c r="L16" s="10" t="str">
        <f t="shared" si="6"/>
        <v/>
      </c>
      <c r="M16" s="69" t="e">
        <f t="shared" si="7"/>
        <v>#N/A</v>
      </c>
      <c r="O16" s="8" t="str">
        <f t="shared" si="8"/>
        <v/>
      </c>
      <c r="P16" s="8" t="str">
        <f t="shared" si="9"/>
        <v/>
      </c>
      <c r="Q16" s="8"/>
      <c r="R16" s="8" t="str">
        <f t="shared" si="10"/>
        <v/>
      </c>
      <c r="S16" s="8" t="str">
        <f t="shared" si="11"/>
        <v/>
      </c>
      <c r="T16" s="86"/>
      <c r="U16" s="9">
        <f t="shared" si="12"/>
        <v>6</v>
      </c>
      <c r="V16" s="94" t="str">
        <f>IF(ISNUMBER(MATCH("BISC 1111",$C$93:$C$168,0)),MATCH("BISC 1111",$C$93:$C$168,0),IF(ISNUMBER(MATCH("BISC 1112",$C$93:$C$168,0)),MATCH("BISC 1112",$C$93:$C$168,0),IF(ISNUMBER(MATCH("BISC 1115",$C$93:$C$168,0)),MATCH("BISC 1115",$C$93:$C$168,0),IF(ISNUMBER(MATCH("BISC 1116",$C$93:$C$168,0)),MATCH("BISC 1116",$C$93:$C$168,0),IF(ISNUMBER(MATCH("CHEM 1111",$C$93:$C$168,0)),MATCH("CHEM 1111",$C$93:$C$168,0),IF(ISNUMBER(MATCH("CHEM 1112",$C$93:$C$168,0)),MATCH("CHEM 1112",$C$93:$C$168,0),""))))))</f>
        <v/>
      </c>
      <c r="W16" s="94" t="str">
        <f t="shared" si="13"/>
        <v/>
      </c>
      <c r="Y16" s="9" t="s">
        <v>121</v>
      </c>
      <c r="Z16" s="90" t="str">
        <f>IF(AND(D34&lt;&gt;"",D34&lt;&gt;"I",D34&lt;&gt;"W",D34&lt;&gt;"Z",D34&lt;&gt;"F"),"EMSE 3740W","")</f>
        <v/>
      </c>
      <c r="AA16" s="90"/>
      <c r="AB16" s="90"/>
      <c r="AE16" s="100" t="s">
        <v>110</v>
      </c>
      <c r="AF16" s="101">
        <v>0</v>
      </c>
      <c r="AH16" s="90" t="s">
        <v>160</v>
      </c>
      <c r="AI16" s="90" t="s">
        <v>154</v>
      </c>
      <c r="AK16" s="90" t="s">
        <v>171</v>
      </c>
      <c r="AL16" s="90" t="s">
        <v>187</v>
      </c>
      <c r="AM16" s="90" t="s">
        <v>194</v>
      </c>
      <c r="AN16" s="90" t="s">
        <v>208</v>
      </c>
      <c r="AO16" s="90" t="s">
        <v>229</v>
      </c>
      <c r="AP16" s="90" t="s">
        <v>248</v>
      </c>
      <c r="AQ16" s="90" t="s">
        <v>193</v>
      </c>
      <c r="AR16" s="90" t="s">
        <v>261</v>
      </c>
      <c r="AS16" s="90" t="s">
        <v>267</v>
      </c>
      <c r="AT16" s="90" t="s">
        <v>272</v>
      </c>
      <c r="AU16" s="90" t="s">
        <v>281</v>
      </c>
      <c r="AV16" s="90" t="s">
        <v>291</v>
      </c>
      <c r="AW16" s="90" t="s">
        <v>302</v>
      </c>
      <c r="AX16" s="90" t="s">
        <v>305</v>
      </c>
      <c r="AZ16" s="90" t="s">
        <v>323</v>
      </c>
      <c r="BA16" s="90" t="s">
        <v>327</v>
      </c>
      <c r="BB16" s="90" t="s">
        <v>333</v>
      </c>
    </row>
    <row r="17" spans="1:54" x14ac:dyDescent="0.15">
      <c r="A17" s="10">
        <f>IF(OR(C17="BISC 1125",C17="BISC 1126"),1,0)</f>
        <v>0</v>
      </c>
      <c r="B17" s="10"/>
      <c r="C17" s="10" t="str">
        <f t="shared" si="0"/>
        <v/>
      </c>
      <c r="D17" s="10" t="str">
        <f t="shared" si="1"/>
        <v/>
      </c>
      <c r="E17" s="85" t="str">
        <f t="shared" si="2"/>
        <v/>
      </c>
      <c r="F17" s="59" t="e">
        <f t="shared" si="3"/>
        <v>#N/A</v>
      </c>
      <c r="G17" s="60"/>
      <c r="H17" s="10"/>
      <c r="I17" s="10"/>
      <c r="J17" s="85" t="str">
        <f t="shared" si="4"/>
        <v/>
      </c>
      <c r="K17" s="10" t="str">
        <f t="shared" si="5"/>
        <v/>
      </c>
      <c r="L17" s="10" t="str">
        <f t="shared" si="6"/>
        <v/>
      </c>
      <c r="M17" s="69" t="e">
        <f t="shared" si="7"/>
        <v>#N/A</v>
      </c>
      <c r="O17" s="8" t="str">
        <f t="shared" si="8"/>
        <v/>
      </c>
      <c r="P17" s="8" t="str">
        <f t="shared" si="9"/>
        <v/>
      </c>
      <c r="Q17" s="8"/>
      <c r="R17" s="8" t="str">
        <f t="shared" si="10"/>
        <v/>
      </c>
      <c r="S17" s="8" t="str">
        <f t="shared" si="11"/>
        <v/>
      </c>
      <c r="T17" s="86"/>
      <c r="U17" s="9">
        <f t="shared" si="12"/>
        <v>7</v>
      </c>
      <c r="V17" s="94" t="str">
        <f>IF(ISNUMBER(MATCH("BISC 1125",$C$93:$C$168,0)),MATCH("BISC 1125",$C$93:$C$168,0),IF(ISNUMBER(MATCH("BISC 1126",$C$93:$C$168,0)),MATCH("BISC 1126",$C$93:$C$168,0),""))</f>
        <v/>
      </c>
      <c r="W17" s="94" t="str">
        <f t="shared" si="13"/>
        <v/>
      </c>
      <c r="Y17" s="9"/>
      <c r="Z17" s="90" t="str">
        <f>IF(AND(K34&lt;&gt;"",K34&lt;&gt;"I",K34&lt;&gt;"W",K34&lt;&gt;"Z",K34&lt;&gt;"F"),"EMSE 3855W","")</f>
        <v/>
      </c>
      <c r="AA17" s="90"/>
      <c r="AB17" s="90"/>
      <c r="AE17" s="100" t="s">
        <v>16</v>
      </c>
      <c r="AF17" s="101">
        <v>0</v>
      </c>
      <c r="AH17" s="90" t="s">
        <v>161</v>
      </c>
      <c r="AI17" s="90" t="s">
        <v>155</v>
      </c>
      <c r="AK17" s="90" t="s">
        <v>172</v>
      </c>
      <c r="AL17" s="90" t="s">
        <v>188</v>
      </c>
      <c r="AM17" s="90" t="s">
        <v>154</v>
      </c>
      <c r="AN17" s="90" t="s">
        <v>209</v>
      </c>
      <c r="AO17" s="90" t="s">
        <v>230</v>
      </c>
      <c r="AP17" s="90" t="s">
        <v>249</v>
      </c>
      <c r="AQ17" s="90" t="s">
        <v>154</v>
      </c>
      <c r="AR17" s="90" t="s">
        <v>262</v>
      </c>
      <c r="AU17" s="90" t="s">
        <v>282</v>
      </c>
      <c r="AV17" s="90" t="s">
        <v>292</v>
      </c>
      <c r="AX17" s="90" t="s">
        <v>306</v>
      </c>
      <c r="AZ17" s="90" t="s">
        <v>324</v>
      </c>
      <c r="BA17" s="90" t="s">
        <v>328</v>
      </c>
      <c r="BB17" s="90" t="s">
        <v>334</v>
      </c>
    </row>
    <row r="18" spans="1:54" x14ac:dyDescent="0.15">
      <c r="O18" s="8" t="str">
        <f t="shared" si="8"/>
        <v/>
      </c>
      <c r="P18" s="8" t="str">
        <f t="shared" si="9"/>
        <v/>
      </c>
      <c r="Q18" s="8"/>
      <c r="R18" s="8" t="str">
        <f t="shared" si="10"/>
        <v/>
      </c>
      <c r="S18" s="8" t="str">
        <f t="shared" si="11"/>
        <v/>
      </c>
      <c r="T18" s="86"/>
      <c r="U18" s="9">
        <f t="shared" si="12"/>
        <v>8</v>
      </c>
      <c r="V18" s="87"/>
      <c r="W18" s="87"/>
      <c r="Y18" s="9"/>
      <c r="Z18" s="90" t="str">
        <f>IF(AND(K45&lt;&gt;"",K45&lt;&gt;"I",K45&lt;&gt;"W",K45&lt;&gt;"Z",K35&lt;&gt;"F"),"STAT 2183W","")</f>
        <v/>
      </c>
      <c r="AA18" s="90"/>
      <c r="AB18" s="90"/>
      <c r="AE18" s="100" t="s">
        <v>17</v>
      </c>
      <c r="AF18" s="101">
        <v>0</v>
      </c>
      <c r="AH18" s="90" t="s">
        <v>141</v>
      </c>
      <c r="AI18" s="90" t="s">
        <v>156</v>
      </c>
      <c r="AK18" s="90" t="s">
        <v>173</v>
      </c>
      <c r="AL18" s="90" t="s">
        <v>189</v>
      </c>
      <c r="AM18" s="90" t="s">
        <v>195</v>
      </c>
      <c r="AN18" s="90" t="s">
        <v>210</v>
      </c>
      <c r="AO18" s="90" t="s">
        <v>231</v>
      </c>
      <c r="AQ18" s="90" t="s">
        <v>251</v>
      </c>
      <c r="AR18" s="90" t="s">
        <v>263</v>
      </c>
      <c r="AU18" s="90" t="s">
        <v>283</v>
      </c>
      <c r="AV18" s="90" t="s">
        <v>293</v>
      </c>
      <c r="AX18" s="90" t="s">
        <v>307</v>
      </c>
      <c r="BB18" s="90" t="s">
        <v>335</v>
      </c>
    </row>
    <row r="19" spans="1:54" x14ac:dyDescent="0.15">
      <c r="A19" s="13" t="s">
        <v>27</v>
      </c>
      <c r="B19" s="12"/>
      <c r="C19" s="13">
        <f>J8</f>
        <v>2023</v>
      </c>
      <c r="D19" s="14"/>
      <c r="E19" s="15"/>
      <c r="F19" s="56"/>
      <c r="H19" s="13" t="s">
        <v>28</v>
      </c>
      <c r="I19" s="12"/>
      <c r="J19" s="13">
        <f>C19+1</f>
        <v>2024</v>
      </c>
      <c r="K19" s="14"/>
      <c r="L19" s="15"/>
      <c r="M19" s="56"/>
      <c r="O19" s="8" t="str">
        <f t="shared" si="8"/>
        <v/>
      </c>
      <c r="P19" s="8" t="str">
        <f t="shared" si="9"/>
        <v/>
      </c>
      <c r="Q19" s="8"/>
      <c r="R19" s="8" t="str">
        <f t="shared" si="10"/>
        <v/>
      </c>
      <c r="S19" s="8" t="str">
        <f t="shared" si="11"/>
        <v/>
      </c>
      <c r="T19" s="86"/>
      <c r="U19" s="9">
        <f t="shared" si="12"/>
        <v>9</v>
      </c>
      <c r="V19" s="87"/>
      <c r="W19" s="87"/>
      <c r="Y19" s="9"/>
      <c r="Z19" s="90"/>
      <c r="AA19" s="90"/>
      <c r="AB19" s="90"/>
      <c r="AE19" s="100" t="s">
        <v>15</v>
      </c>
      <c r="AF19" s="101">
        <v>0</v>
      </c>
      <c r="AH19" s="90" t="s">
        <v>142</v>
      </c>
      <c r="AI19" s="90" t="s">
        <v>157</v>
      </c>
      <c r="AK19" s="90" t="s">
        <v>174</v>
      </c>
      <c r="AM19" s="90" t="s">
        <v>196</v>
      </c>
      <c r="AN19" s="90" t="s">
        <v>211</v>
      </c>
      <c r="AO19" s="90" t="s">
        <v>232</v>
      </c>
      <c r="AQ19" s="90" t="s">
        <v>252</v>
      </c>
      <c r="AR19" s="90" t="s">
        <v>264</v>
      </c>
      <c r="AU19" s="90" t="s">
        <v>278</v>
      </c>
      <c r="AV19" s="90" t="s">
        <v>294</v>
      </c>
      <c r="AX19" s="90" t="s">
        <v>308</v>
      </c>
    </row>
    <row r="20" spans="1:54" x14ac:dyDescent="0.15">
      <c r="A20" s="16" t="s">
        <v>37</v>
      </c>
      <c r="B20" s="16"/>
      <c r="C20" s="16"/>
      <c r="D20" s="17" t="s">
        <v>30</v>
      </c>
      <c r="E20" s="18">
        <f>SUM(A22:A28)</f>
        <v>16</v>
      </c>
      <c r="F20" s="57"/>
      <c r="H20" s="16" t="s">
        <v>38</v>
      </c>
      <c r="I20" s="16"/>
      <c r="J20" s="16"/>
      <c r="K20" s="17" t="s">
        <v>30</v>
      </c>
      <c r="L20" s="18">
        <f>SUM(H22:H28)</f>
        <v>15</v>
      </c>
      <c r="M20" s="57"/>
      <c r="O20" s="8" t="str">
        <f t="shared" si="8"/>
        <v/>
      </c>
      <c r="P20" s="8" t="str">
        <f t="shared" si="9"/>
        <v/>
      </c>
      <c r="Q20" s="8"/>
      <c r="R20" s="8" t="str">
        <f t="shared" si="10"/>
        <v/>
      </c>
      <c r="S20" s="8" t="str">
        <f t="shared" si="11"/>
        <v/>
      </c>
      <c r="T20" s="86"/>
      <c r="U20" s="9">
        <f t="shared" si="12"/>
        <v>10</v>
      </c>
      <c r="V20" s="87"/>
      <c r="W20" s="87"/>
      <c r="Z20" s="90"/>
      <c r="AA20" s="90"/>
      <c r="AB20" s="90"/>
      <c r="AE20" s="100" t="s">
        <v>606</v>
      </c>
      <c r="AF20" s="101">
        <v>0</v>
      </c>
      <c r="AH20" s="90" t="s">
        <v>143</v>
      </c>
      <c r="AI20" s="90" t="s">
        <v>158</v>
      </c>
      <c r="AK20" s="90" t="s">
        <v>175</v>
      </c>
      <c r="AM20" s="90" t="s">
        <v>197</v>
      </c>
      <c r="AN20" s="90" t="s">
        <v>212</v>
      </c>
      <c r="AO20" s="90" t="s">
        <v>233</v>
      </c>
      <c r="AQ20" s="90" t="s">
        <v>197</v>
      </c>
      <c r="AR20" s="90" t="s">
        <v>265</v>
      </c>
      <c r="AU20" s="90" t="s">
        <v>279</v>
      </c>
      <c r="AV20" s="90" t="s">
        <v>295</v>
      </c>
      <c r="AX20" s="90" t="s">
        <v>309</v>
      </c>
    </row>
    <row r="21" spans="1:54" x14ac:dyDescent="0.15">
      <c r="A21" s="8" t="s">
        <v>33</v>
      </c>
      <c r="B21" s="8" t="s">
        <v>1</v>
      </c>
      <c r="C21" s="10" t="s">
        <v>34</v>
      </c>
      <c r="D21" s="8" t="s">
        <v>35</v>
      </c>
      <c r="E21" s="8" t="s">
        <v>36</v>
      </c>
      <c r="F21" s="58"/>
      <c r="H21" s="8" t="s">
        <v>33</v>
      </c>
      <c r="I21" s="8" t="s">
        <v>1</v>
      </c>
      <c r="J21" s="10" t="s">
        <v>34</v>
      </c>
      <c r="K21" s="8" t="s">
        <v>35</v>
      </c>
      <c r="L21" s="8" t="s">
        <v>36</v>
      </c>
      <c r="M21" s="58"/>
      <c r="O21" s="8" t="str">
        <f t="shared" si="8"/>
        <v/>
      </c>
      <c r="P21" s="8" t="str">
        <f t="shared" si="9"/>
        <v/>
      </c>
      <c r="Q21" s="8"/>
      <c r="R21" s="8" t="str">
        <f t="shared" si="10"/>
        <v/>
      </c>
      <c r="S21" s="8" t="str">
        <f t="shared" si="11"/>
        <v/>
      </c>
      <c r="T21" s="86"/>
      <c r="U21" s="9">
        <f t="shared" si="12"/>
        <v>11</v>
      </c>
      <c r="V21" s="87"/>
      <c r="W21" s="87"/>
      <c r="Y21" s="9" t="s">
        <v>122</v>
      </c>
      <c r="Z21" s="90"/>
      <c r="AA21" s="90" t="s">
        <v>123</v>
      </c>
      <c r="AB21" s="90"/>
      <c r="AE21" s="100" t="str">
        <f>"I|"&amp;AE2</f>
        <v>I|A</v>
      </c>
      <c r="AF21" s="101">
        <v>4</v>
      </c>
      <c r="AH21" s="90" t="s">
        <v>144</v>
      </c>
      <c r="AK21" s="90" t="s">
        <v>176</v>
      </c>
      <c r="AM21" s="90" t="s">
        <v>198</v>
      </c>
      <c r="AN21" s="90" t="s">
        <v>213</v>
      </c>
      <c r="AO21" s="90" t="s">
        <v>234</v>
      </c>
      <c r="AQ21" s="90" t="s">
        <v>201</v>
      </c>
      <c r="AV21" s="90" t="s">
        <v>296</v>
      </c>
      <c r="AX21" s="90" t="s">
        <v>310</v>
      </c>
    </row>
    <row r="22" spans="1:54" x14ac:dyDescent="0.15">
      <c r="A22" s="10">
        <v>3</v>
      </c>
      <c r="B22" s="85" t="s">
        <v>74</v>
      </c>
      <c r="C22" s="10" t="str">
        <f t="shared" ref="C22:C28" si="15">IF($V22="","",IF(INDEX($B$93:$G$164,$V22,2)=$B22,"",INDEX($B$93:$G$164,$V22,2)))</f>
        <v/>
      </c>
      <c r="D22" s="10" t="str">
        <f t="shared" ref="D22:D28" si="16">IF($V22="","",INDEX($B$93:$G$164,$V22,4))</f>
        <v/>
      </c>
      <c r="E22" s="85" t="str">
        <f t="shared" ref="E22:E28" si="17">IF($V22="","",INDEX($B$93:$G$164,$V22,1))</f>
        <v/>
      </c>
      <c r="F22" s="59" t="e">
        <f t="shared" ref="F22:F28" si="18">IF(ISNUMBER(D22),D22*A22,IF(ISBLANK(D22),0,VLOOKUP(D22,$A$52:$B$54,2,FALSE)*A22))</f>
        <v>#N/A</v>
      </c>
      <c r="G22" s="60"/>
      <c r="H22" s="10">
        <v>3</v>
      </c>
      <c r="I22" s="10" t="s">
        <v>67</v>
      </c>
      <c r="J22" s="10" t="str">
        <f t="shared" ref="J22:J28" si="19">IF($W22="","",IF(INDEX($B$93:$G$164,$W22,2)=$I22,"",INDEX($B$93:$G$164,$W22,2)))</f>
        <v/>
      </c>
      <c r="K22" s="10" t="str">
        <f t="shared" ref="K22:K28" si="20">IF($W22="","",INDEX($B$93:$G$164,$W22,4))</f>
        <v/>
      </c>
      <c r="L22" s="10" t="str">
        <f t="shared" ref="L22:L28" si="21">IF($W22="","",INDEX($B$93:$G$164,$W22,1))</f>
        <v/>
      </c>
      <c r="M22" s="69" t="e">
        <f t="shared" ref="M22:M28" si="22">IF(ISNUMBER(K22),K22*H22,IF(ISBLANK(K22),0,VLOOKUP(K22,$A$52:$B$54,2,FALSE)*H22))</f>
        <v>#N/A</v>
      </c>
      <c r="O22" s="8" t="str">
        <f t="shared" si="8"/>
        <v/>
      </c>
      <c r="P22" s="8" t="str">
        <f t="shared" si="9"/>
        <v/>
      </c>
      <c r="Q22" s="8"/>
      <c r="R22" s="8" t="str">
        <f t="shared" si="10"/>
        <v/>
      </c>
      <c r="S22" s="8" t="str">
        <f t="shared" si="11"/>
        <v/>
      </c>
      <c r="T22" s="86"/>
      <c r="U22" s="9">
        <f t="shared" si="12"/>
        <v>12</v>
      </c>
      <c r="V22" s="94" t="str">
        <f t="shared" ref="V22:V28" si="23">IF(ISNUMBER(MATCH(B22,$C$93:$C$168,0)),MATCH(B22,$C$93:$C$168,0),"")</f>
        <v/>
      </c>
      <c r="W22" s="94" t="str">
        <f t="shared" ref="W22:W28" si="24">IF(ISNUMBER(MATCH(I22,$C$93:$C$168,0)),MATCH(I22,$C$93:$C$168,0),"")</f>
        <v/>
      </c>
      <c r="Y22" s="9"/>
      <c r="Z22" s="90"/>
      <c r="AA22" s="90"/>
      <c r="AB22" s="90"/>
      <c r="AE22" s="100" t="str">
        <f t="shared" ref="AE22:AE32" si="25">"I|"&amp;AE3</f>
        <v>I|A-</v>
      </c>
      <c r="AF22" s="101">
        <v>3.7</v>
      </c>
      <c r="AH22" s="90" t="s">
        <v>145</v>
      </c>
      <c r="AK22" s="90" t="s">
        <v>177</v>
      </c>
      <c r="AM22" s="90" t="s">
        <v>199</v>
      </c>
      <c r="AN22" s="90" t="s">
        <v>214</v>
      </c>
      <c r="AO22" s="90" t="s">
        <v>235</v>
      </c>
      <c r="AQ22" s="90" t="s">
        <v>202</v>
      </c>
      <c r="AV22" s="90" t="s">
        <v>297</v>
      </c>
      <c r="AX22" s="90" t="s">
        <v>311</v>
      </c>
    </row>
    <row r="23" spans="1:54" x14ac:dyDescent="0.15">
      <c r="A23" s="10">
        <v>3</v>
      </c>
      <c r="B23" s="85" t="s">
        <v>76</v>
      </c>
      <c r="C23" s="10" t="str">
        <f t="shared" si="15"/>
        <v/>
      </c>
      <c r="D23" s="10" t="str">
        <f t="shared" si="16"/>
        <v/>
      </c>
      <c r="E23" s="85" t="str">
        <f t="shared" si="17"/>
        <v/>
      </c>
      <c r="F23" s="59" t="e">
        <f t="shared" si="18"/>
        <v>#N/A</v>
      </c>
      <c r="G23" s="60"/>
      <c r="H23" s="10">
        <v>3</v>
      </c>
      <c r="I23" s="85" t="s">
        <v>78</v>
      </c>
      <c r="J23" s="10" t="str">
        <f t="shared" si="19"/>
        <v/>
      </c>
      <c r="K23" s="10" t="str">
        <f t="shared" si="20"/>
        <v/>
      </c>
      <c r="L23" s="10" t="str">
        <f t="shared" si="21"/>
        <v/>
      </c>
      <c r="M23" s="69" t="e">
        <f t="shared" si="22"/>
        <v>#N/A</v>
      </c>
      <c r="O23" s="126" t="s">
        <v>620</v>
      </c>
      <c r="P23" s="126"/>
      <c r="Q23" s="126"/>
      <c r="R23" s="126"/>
      <c r="S23" s="126"/>
      <c r="T23" s="126"/>
      <c r="U23" s="9">
        <f t="shared" si="12"/>
        <v>13</v>
      </c>
      <c r="V23" s="94" t="str">
        <f>IF(ISNUMBER(MATCH("CSCI 2113",$C$93:$C$168,0)),MATCH("CSCI 2113",$C$93:$C$168,0),IF(ISNUMBER(MATCH("EMSE 4575",$C$93:$C$168,0)),MATCH("EMSE 4575",$C$93:$C$168,0),""))</f>
        <v/>
      </c>
      <c r="W23" s="94" t="str">
        <f t="shared" si="24"/>
        <v/>
      </c>
      <c r="Y23" s="9"/>
      <c r="Z23" s="90"/>
      <c r="AA23" s="90"/>
      <c r="AB23" s="90"/>
      <c r="AE23" s="100" t="str">
        <f t="shared" si="25"/>
        <v>I|B+</v>
      </c>
      <c r="AF23" s="101">
        <v>3.3</v>
      </c>
      <c r="AH23" s="90" t="s">
        <v>146</v>
      </c>
      <c r="AM23" s="90" t="s">
        <v>200</v>
      </c>
      <c r="AN23" s="90" t="s">
        <v>215</v>
      </c>
      <c r="AO23" s="90" t="s">
        <v>236</v>
      </c>
      <c r="AQ23" s="90" t="s">
        <v>253</v>
      </c>
      <c r="AV23" s="90" t="s">
        <v>298</v>
      </c>
    </row>
    <row r="24" spans="1:54" x14ac:dyDescent="0.15">
      <c r="A24" s="10">
        <v>3</v>
      </c>
      <c r="B24" s="85" t="s">
        <v>609</v>
      </c>
      <c r="C24" s="10" t="str">
        <f t="shared" si="15"/>
        <v/>
      </c>
      <c r="D24" s="10" t="str">
        <f t="shared" si="16"/>
        <v/>
      </c>
      <c r="E24" s="85" t="str">
        <f t="shared" si="17"/>
        <v/>
      </c>
      <c r="F24" s="59" t="e">
        <f t="shared" si="18"/>
        <v>#N/A</v>
      </c>
      <c r="G24" s="60"/>
      <c r="H24" s="10">
        <v>3</v>
      </c>
      <c r="I24" s="85" t="s">
        <v>92</v>
      </c>
      <c r="J24" s="10" t="str">
        <f t="shared" si="19"/>
        <v/>
      </c>
      <c r="K24" s="10" t="str">
        <f t="shared" si="20"/>
        <v/>
      </c>
      <c r="L24" s="10" t="str">
        <f t="shared" si="21"/>
        <v/>
      </c>
      <c r="M24" s="69" t="e">
        <f t="shared" si="22"/>
        <v>#N/A</v>
      </c>
      <c r="O24" s="126" t="s">
        <v>99</v>
      </c>
      <c r="P24" s="126"/>
      <c r="Q24" s="126"/>
      <c r="R24" s="126"/>
      <c r="S24" s="126"/>
      <c r="T24" s="126"/>
      <c r="U24" s="9">
        <f t="shared" si="12"/>
        <v>14</v>
      </c>
      <c r="V24" s="94" t="str">
        <f t="shared" si="23"/>
        <v/>
      </c>
      <c r="W24" s="94" t="str">
        <f t="shared" si="24"/>
        <v/>
      </c>
      <c r="Z24" s="90"/>
      <c r="AA24" s="90"/>
      <c r="AB24" s="90"/>
      <c r="AE24" s="100" t="str">
        <f t="shared" si="25"/>
        <v>I|B</v>
      </c>
      <c r="AF24" s="101">
        <v>3</v>
      </c>
      <c r="AH24" s="90" t="s">
        <v>147</v>
      </c>
      <c r="AM24" s="90" t="s">
        <v>201</v>
      </c>
      <c r="AN24" s="90" t="s">
        <v>216</v>
      </c>
      <c r="AO24" s="90" t="s">
        <v>237</v>
      </c>
      <c r="AQ24" s="90" t="s">
        <v>254</v>
      </c>
    </row>
    <row r="25" spans="1:54" x14ac:dyDescent="0.15">
      <c r="A25" s="10">
        <v>3</v>
      </c>
      <c r="B25" s="10" t="s">
        <v>64</v>
      </c>
      <c r="C25" s="10" t="str">
        <f t="shared" si="15"/>
        <v/>
      </c>
      <c r="D25" s="10" t="str">
        <f t="shared" si="16"/>
        <v/>
      </c>
      <c r="E25" s="85" t="str">
        <f t="shared" si="17"/>
        <v/>
      </c>
      <c r="F25" s="59" t="e">
        <f t="shared" si="18"/>
        <v>#N/A</v>
      </c>
      <c r="G25" s="60"/>
      <c r="H25" s="10">
        <v>3</v>
      </c>
      <c r="I25" s="85" t="s">
        <v>622</v>
      </c>
      <c r="J25" s="10" t="str">
        <f t="shared" si="19"/>
        <v/>
      </c>
      <c r="K25" s="10" t="str">
        <f t="shared" si="20"/>
        <v/>
      </c>
      <c r="L25" s="10" t="str">
        <f t="shared" si="21"/>
        <v/>
      </c>
      <c r="M25" s="69" t="e">
        <f t="shared" si="22"/>
        <v>#N/A</v>
      </c>
      <c r="O25" s="126" t="s">
        <v>98</v>
      </c>
      <c r="P25" s="126"/>
      <c r="Q25" s="126"/>
      <c r="R25" s="126"/>
      <c r="S25" s="126"/>
      <c r="T25" s="127"/>
      <c r="U25" s="9">
        <f t="shared" si="12"/>
        <v>15</v>
      </c>
      <c r="V25" s="94" t="str">
        <f t="shared" ref="V25:V26" si="26">IF(ISNUMBER(MATCH(B25,$C$93:$C$168,0)),MATCH(B25,$C$93:$C$168,0),"")</f>
        <v/>
      </c>
      <c r="W25" s="94" t="str">
        <f t="shared" ref="W25:W26" si="27">IF(ISNUMBER(MATCH(I25,$C$93:$C$168,0)),MATCH(I25,$C$93:$C$168,0),"")</f>
        <v/>
      </c>
      <c r="Y25" s="9" t="s">
        <v>124</v>
      </c>
      <c r="Z25" s="90"/>
      <c r="AA25" s="90"/>
      <c r="AB25" s="90"/>
      <c r="AE25" s="100" t="str">
        <f t="shared" si="25"/>
        <v>I|B-</v>
      </c>
      <c r="AF25" s="101">
        <v>2.7</v>
      </c>
      <c r="AH25" s="90" t="s">
        <v>148</v>
      </c>
      <c r="AM25" s="90" t="s">
        <v>202</v>
      </c>
      <c r="AN25" s="90" t="s">
        <v>217</v>
      </c>
      <c r="AO25" s="90" t="s">
        <v>238</v>
      </c>
      <c r="AQ25" s="90" t="s">
        <v>255</v>
      </c>
    </row>
    <row r="26" spans="1:54" x14ac:dyDescent="0.15">
      <c r="A26" s="10">
        <v>4</v>
      </c>
      <c r="B26" s="85" t="s">
        <v>91</v>
      </c>
      <c r="C26" s="10" t="str">
        <f t="shared" si="15"/>
        <v/>
      </c>
      <c r="D26" s="10" t="str">
        <f t="shared" si="16"/>
        <v/>
      </c>
      <c r="E26" s="85" t="str">
        <f t="shared" si="17"/>
        <v/>
      </c>
      <c r="F26" s="59" t="e">
        <f t="shared" si="18"/>
        <v>#N/A</v>
      </c>
      <c r="G26" s="60"/>
      <c r="H26" s="10">
        <v>3</v>
      </c>
      <c r="I26" s="85" t="s">
        <v>95</v>
      </c>
      <c r="J26" s="10" t="str">
        <f t="shared" si="19"/>
        <v/>
      </c>
      <c r="K26" s="10" t="str">
        <f t="shared" si="20"/>
        <v/>
      </c>
      <c r="L26" s="10" t="str">
        <f t="shared" si="21"/>
        <v/>
      </c>
      <c r="M26" s="69" t="e">
        <f t="shared" si="22"/>
        <v>#N/A</v>
      </c>
      <c r="T26" s="9"/>
      <c r="U26" s="9">
        <f t="shared" si="12"/>
        <v>16</v>
      </c>
      <c r="V26" s="94" t="str">
        <f t="shared" si="26"/>
        <v/>
      </c>
      <c r="W26" s="94" t="str">
        <f t="shared" si="27"/>
        <v/>
      </c>
      <c r="Y26" s="9"/>
      <c r="Z26" s="90"/>
      <c r="AA26" s="90"/>
      <c r="AB26" s="90"/>
      <c r="AE26" s="100" t="str">
        <f t="shared" si="25"/>
        <v>I|C+</v>
      </c>
      <c r="AF26" s="101">
        <v>2.2999999999999998</v>
      </c>
      <c r="AH26" s="90" t="s">
        <v>149</v>
      </c>
      <c r="AN26" s="90" t="s">
        <v>218</v>
      </c>
      <c r="AO26" s="90" t="s">
        <v>239</v>
      </c>
    </row>
    <row r="27" spans="1:54" x14ac:dyDescent="0.15">
      <c r="A27" s="10"/>
      <c r="B27" s="10"/>
      <c r="C27" s="10" t="str">
        <f t="shared" si="15"/>
        <v/>
      </c>
      <c r="D27" s="10" t="str">
        <f t="shared" si="16"/>
        <v/>
      </c>
      <c r="E27" s="85" t="str">
        <f t="shared" si="17"/>
        <v/>
      </c>
      <c r="F27" s="59" t="e">
        <f t="shared" si="18"/>
        <v>#N/A</v>
      </c>
      <c r="G27" s="60"/>
      <c r="H27" s="10"/>
      <c r="I27" s="10" t="s">
        <v>77</v>
      </c>
      <c r="J27" s="10" t="str">
        <f t="shared" si="19"/>
        <v/>
      </c>
      <c r="K27" s="10" t="str">
        <f t="shared" si="20"/>
        <v/>
      </c>
      <c r="L27" s="10" t="str">
        <f t="shared" si="21"/>
        <v/>
      </c>
      <c r="M27" s="69" t="e">
        <f t="shared" si="22"/>
        <v>#N/A</v>
      </c>
      <c r="O27" s="126" t="s">
        <v>621</v>
      </c>
      <c r="P27" s="126" t="s">
        <v>624</v>
      </c>
      <c r="Q27" s="126"/>
      <c r="R27" s="126"/>
      <c r="S27" s="126"/>
      <c r="T27" s="126"/>
      <c r="U27" s="9">
        <f t="shared" si="12"/>
        <v>17</v>
      </c>
      <c r="V27" s="94" t="str">
        <f t="shared" si="23"/>
        <v/>
      </c>
      <c r="W27" s="94" t="str">
        <f t="shared" si="24"/>
        <v/>
      </c>
      <c r="Z27" s="90"/>
      <c r="AA27" s="90"/>
      <c r="AB27" s="90"/>
      <c r="AE27" s="100" t="str">
        <f t="shared" si="25"/>
        <v>I|C</v>
      </c>
      <c r="AF27" s="101">
        <v>2</v>
      </c>
      <c r="AN27" s="90" t="s">
        <v>219</v>
      </c>
      <c r="AO27" s="90" t="s">
        <v>240</v>
      </c>
    </row>
    <row r="28" spans="1:54" x14ac:dyDescent="0.15">
      <c r="A28" s="10"/>
      <c r="B28" s="10"/>
      <c r="C28" s="10" t="str">
        <f t="shared" si="15"/>
        <v/>
      </c>
      <c r="D28" s="10" t="str">
        <f t="shared" si="16"/>
        <v/>
      </c>
      <c r="E28" s="85" t="str">
        <f t="shared" si="17"/>
        <v/>
      </c>
      <c r="F28" s="59" t="e">
        <f t="shared" si="18"/>
        <v>#N/A</v>
      </c>
      <c r="G28" s="60"/>
      <c r="H28" s="10"/>
      <c r="I28" s="10"/>
      <c r="J28" s="10" t="str">
        <f t="shared" si="19"/>
        <v/>
      </c>
      <c r="K28" s="10" t="str">
        <f t="shared" si="20"/>
        <v/>
      </c>
      <c r="L28" s="10" t="str">
        <f t="shared" si="21"/>
        <v/>
      </c>
      <c r="M28" s="69" t="e">
        <f t="shared" si="22"/>
        <v>#N/A</v>
      </c>
      <c r="O28" s="126" t="s">
        <v>625</v>
      </c>
      <c r="P28" s="126"/>
      <c r="Q28" s="126"/>
      <c r="R28" s="126"/>
      <c r="S28" s="126"/>
      <c r="T28" s="126"/>
      <c r="U28" s="9">
        <f t="shared" si="12"/>
        <v>18</v>
      </c>
      <c r="V28" s="94" t="str">
        <f t="shared" si="23"/>
        <v/>
      </c>
      <c r="W28" s="94" t="str">
        <f t="shared" si="24"/>
        <v/>
      </c>
      <c r="Z28" s="90"/>
      <c r="AA28" s="90"/>
      <c r="AB28" s="90"/>
      <c r="AE28" s="100" t="str">
        <f t="shared" si="25"/>
        <v>I|C-</v>
      </c>
      <c r="AF28" s="101">
        <v>1.7</v>
      </c>
      <c r="AN28" s="90" t="s">
        <v>220</v>
      </c>
      <c r="AO28" s="90" t="s">
        <v>241</v>
      </c>
    </row>
    <row r="29" spans="1:54" x14ac:dyDescent="0.15">
      <c r="O29" s="126" t="s">
        <v>626</v>
      </c>
      <c r="P29" s="126"/>
      <c r="Q29" s="126"/>
      <c r="R29" s="126"/>
      <c r="S29" s="126"/>
      <c r="T29" s="126"/>
      <c r="U29" s="9">
        <f t="shared" si="12"/>
        <v>19</v>
      </c>
      <c r="V29" s="87"/>
      <c r="W29" s="87"/>
      <c r="Y29" s="9" t="s">
        <v>125</v>
      </c>
      <c r="Z29" s="90"/>
      <c r="AA29" s="90"/>
      <c r="AB29" s="90"/>
      <c r="AE29" s="100" t="str">
        <f t="shared" si="25"/>
        <v>I|D+</v>
      </c>
      <c r="AF29" s="101">
        <v>1.3</v>
      </c>
      <c r="AN29" s="90" t="s">
        <v>221</v>
      </c>
      <c r="AO29" s="90" t="s">
        <v>242</v>
      </c>
    </row>
    <row r="30" spans="1:54" x14ac:dyDescent="0.15">
      <c r="A30" s="13" t="s">
        <v>27</v>
      </c>
      <c r="B30" s="12"/>
      <c r="C30" s="13">
        <f>J19</f>
        <v>2024</v>
      </c>
      <c r="D30" s="14"/>
      <c r="E30" s="15"/>
      <c r="F30" s="56"/>
      <c r="H30" s="13" t="s">
        <v>28</v>
      </c>
      <c r="I30" s="12"/>
      <c r="J30" s="13">
        <f>C30+1</f>
        <v>2025</v>
      </c>
      <c r="K30" s="14"/>
      <c r="L30" s="15"/>
      <c r="M30" s="56"/>
      <c r="T30" s="9"/>
      <c r="U30" s="9">
        <f t="shared" si="12"/>
        <v>20</v>
      </c>
      <c r="V30" s="87"/>
      <c r="W30" s="87"/>
      <c r="Z30" s="90"/>
      <c r="AA30" s="90"/>
      <c r="AB30" s="90"/>
      <c r="AE30" s="100" t="str">
        <f t="shared" si="25"/>
        <v>I|D</v>
      </c>
      <c r="AF30" s="101">
        <v>1</v>
      </c>
      <c r="AN30" s="90" t="s">
        <v>222</v>
      </c>
      <c r="AO30" s="90" t="s">
        <v>243</v>
      </c>
    </row>
    <row r="31" spans="1:54" x14ac:dyDescent="0.15">
      <c r="A31" s="16" t="s">
        <v>39</v>
      </c>
      <c r="B31" s="16"/>
      <c r="C31" s="16"/>
      <c r="D31" s="17" t="s">
        <v>30</v>
      </c>
      <c r="E31" s="18">
        <f>SUM(A33:A39)</f>
        <v>18</v>
      </c>
      <c r="F31" s="57"/>
      <c r="H31" s="16" t="s">
        <v>40</v>
      </c>
      <c r="I31" s="16"/>
      <c r="J31" s="16"/>
      <c r="K31" s="17" t="s">
        <v>30</v>
      </c>
      <c r="L31" s="18">
        <f>SUM(H33:H39)</f>
        <v>18</v>
      </c>
      <c r="M31" s="57"/>
      <c r="O31" s="126" t="s">
        <v>96</v>
      </c>
      <c r="P31" s="126" t="s">
        <v>627</v>
      </c>
      <c r="Q31" s="126"/>
      <c r="R31" s="126"/>
      <c r="S31" s="126"/>
      <c r="T31" s="126"/>
      <c r="U31" s="9">
        <f t="shared" si="12"/>
        <v>21</v>
      </c>
      <c r="V31" s="87"/>
      <c r="W31" s="87"/>
      <c r="Z31" s="90"/>
      <c r="AA31" s="90"/>
      <c r="AB31" s="90"/>
      <c r="AE31" s="100" t="str">
        <f t="shared" si="25"/>
        <v>I|D-</v>
      </c>
      <c r="AF31" s="101">
        <v>0.7</v>
      </c>
      <c r="AN31" s="90" t="s">
        <v>223</v>
      </c>
      <c r="AO31" s="90" t="s">
        <v>244</v>
      </c>
    </row>
    <row r="32" spans="1:54" ht="14" thickBot="1" x14ac:dyDescent="0.2">
      <c r="A32" s="8" t="s">
        <v>33</v>
      </c>
      <c r="B32" s="8" t="s">
        <v>1</v>
      </c>
      <c r="C32" s="10" t="s">
        <v>34</v>
      </c>
      <c r="D32" s="8" t="s">
        <v>35</v>
      </c>
      <c r="E32" s="8" t="s">
        <v>36</v>
      </c>
      <c r="F32" s="58"/>
      <c r="H32" s="8" t="s">
        <v>33</v>
      </c>
      <c r="I32" s="8" t="s">
        <v>1</v>
      </c>
      <c r="J32" s="10" t="s">
        <v>34</v>
      </c>
      <c r="K32" s="8" t="s">
        <v>35</v>
      </c>
      <c r="L32" s="8" t="s">
        <v>36</v>
      </c>
      <c r="M32" s="58"/>
      <c r="O32" s="126" t="s">
        <v>628</v>
      </c>
      <c r="P32" s="126"/>
      <c r="Q32" s="126"/>
      <c r="R32" s="126"/>
      <c r="S32" s="126"/>
      <c r="T32" s="126"/>
      <c r="U32" s="9">
        <f t="shared" si="12"/>
        <v>22</v>
      </c>
      <c r="V32" s="87"/>
      <c r="W32" s="87"/>
      <c r="Z32" s="90"/>
      <c r="AA32" s="90"/>
      <c r="AB32" s="90"/>
      <c r="AE32" s="102" t="str">
        <f t="shared" si="25"/>
        <v>I|F</v>
      </c>
      <c r="AF32" s="103">
        <v>0</v>
      </c>
      <c r="AN32" s="90"/>
      <c r="AO32" s="90"/>
    </row>
    <row r="33" spans="1:41" x14ac:dyDescent="0.15">
      <c r="A33" s="10">
        <v>3</v>
      </c>
      <c r="B33" s="85" t="s">
        <v>73</v>
      </c>
      <c r="C33" s="10" t="str">
        <f t="shared" ref="C33:C39" si="28">IF($V33="","",IF(INDEX($B$93:$G$164,$V33,2)=$B33,"",INDEX($B$93:$G$164,$V33,2)))</f>
        <v/>
      </c>
      <c r="D33" s="10" t="str">
        <f t="shared" ref="D33:D39" si="29">IF($V33="","",INDEX($B$93:$G$164,$V33,4))</f>
        <v/>
      </c>
      <c r="E33" s="85" t="str">
        <f t="shared" ref="E33:E39" si="30">IF($V33="","",INDEX($B$93:$G$164,$V33,1))</f>
        <v/>
      </c>
      <c r="F33" s="59" t="e">
        <f t="shared" ref="F33:F39" si="31">IF(ISNUMBER(D33),D33*A33,IF(ISBLANK(D33),0,VLOOKUP(D33,$A$52:$B$54,2,FALSE)*A33))</f>
        <v>#N/A</v>
      </c>
      <c r="G33" s="109" t="str">
        <f>IF(ISERROR(INDEX(A$93:S$482,V33,19)),"",INDEX(A$93:S$482,V33,19))</f>
        <v/>
      </c>
      <c r="H33" s="10">
        <v>3</v>
      </c>
      <c r="I33" s="10" t="s">
        <v>80</v>
      </c>
      <c r="J33" s="10" t="str">
        <f t="shared" ref="J33:J39" si="32">IF($W33="","",IF(INDEX($B$93:$G$164,$W33,2)=$I33,"",INDEX($B$93:$G$164,$W33,2)))</f>
        <v/>
      </c>
      <c r="K33" s="10" t="str">
        <f t="shared" ref="K33:K39" si="33">IF($W33="","",INDEX($B$93:$G$164,$W33,4))</f>
        <v/>
      </c>
      <c r="L33" s="10" t="str">
        <f t="shared" ref="L33:L39" si="34">IF($W33="","",INDEX($B$93:$G$164,$W33,1))</f>
        <v/>
      </c>
      <c r="M33" s="69" t="e">
        <f t="shared" ref="M33:M39" si="35">IF(ISNUMBER(K33),K33*H33,IF(ISBLANK(K33),0,VLOOKUP(K33,$A$52:$B$54,2,FALSE)*H33))</f>
        <v>#N/A</v>
      </c>
      <c r="N33" s="109" t="str">
        <f>IF(ISERROR(INDEX(A$93:S$482,W33,19)),"",INDEX(A$93:S$482,W33,19))</f>
        <v/>
      </c>
      <c r="O33" s="126" t="s">
        <v>629</v>
      </c>
      <c r="P33" s="126"/>
      <c r="Q33" s="126"/>
      <c r="R33" s="126"/>
      <c r="S33" s="126"/>
      <c r="T33" s="126"/>
      <c r="U33" s="9">
        <f t="shared" si="12"/>
        <v>23</v>
      </c>
      <c r="V33" s="94" t="str">
        <f t="shared" ref="V33:V39" si="36">IF(ISNUMBER(MATCH(B33,$C$93:$C$168,0)),MATCH(B33,$C$93:$C$168,0),"")</f>
        <v/>
      </c>
      <c r="W33" s="94" t="str">
        <f t="shared" ref="W33:W39" si="37">IF(ISNUMBER(MATCH(I33,$C$93:$C$168,0)),MATCH(I33,$C$93:$C$168,0),"")</f>
        <v/>
      </c>
      <c r="AE33" s="97"/>
      <c r="AF33" s="97"/>
      <c r="AH33" s="107" t="s">
        <v>337</v>
      </c>
      <c r="AJ33" s="107" t="s">
        <v>383</v>
      </c>
      <c r="AL33" s="107" t="s">
        <v>593</v>
      </c>
      <c r="AN33" s="90"/>
      <c r="AO33" s="90"/>
    </row>
    <row r="34" spans="1:41" x14ac:dyDescent="0.15">
      <c r="A34" s="10">
        <v>3</v>
      </c>
      <c r="B34" s="85" t="s">
        <v>93</v>
      </c>
      <c r="C34" s="10" t="str">
        <f t="shared" si="28"/>
        <v/>
      </c>
      <c r="D34" s="10" t="str">
        <f t="shared" si="29"/>
        <v/>
      </c>
      <c r="E34" s="85" t="str">
        <f t="shared" si="30"/>
        <v/>
      </c>
      <c r="F34" s="59" t="e">
        <f t="shared" si="31"/>
        <v>#N/A</v>
      </c>
      <c r="G34" s="109" t="str">
        <f t="shared" ref="G34:G39" si="38">IF(ISERROR(INDEX(A$93:S$482,V34,19)),"",INDEX(A$93:S$482,V34,19))</f>
        <v/>
      </c>
      <c r="H34" s="10">
        <v>3</v>
      </c>
      <c r="I34" s="10" t="s">
        <v>88</v>
      </c>
      <c r="J34" s="10" t="str">
        <f t="shared" si="32"/>
        <v/>
      </c>
      <c r="K34" s="10" t="str">
        <f t="shared" si="33"/>
        <v/>
      </c>
      <c r="L34" s="10" t="str">
        <f t="shared" si="34"/>
        <v/>
      </c>
      <c r="M34" s="69" t="e">
        <f t="shared" si="35"/>
        <v>#N/A</v>
      </c>
      <c r="N34" s="109" t="str">
        <f t="shared" ref="N34:N39" si="39">IF(ISERROR(INDEX(A$93:S$482,W34,19)),"",INDEX(A$93:S$482,W34,19))</f>
        <v/>
      </c>
      <c r="T34" s="9"/>
      <c r="U34" s="9">
        <f t="shared" si="12"/>
        <v>24</v>
      </c>
      <c r="V34" s="94" t="str">
        <f t="shared" si="36"/>
        <v/>
      </c>
      <c r="W34" s="94" t="str">
        <f t="shared" si="37"/>
        <v/>
      </c>
      <c r="AH34" s="90" t="s">
        <v>340</v>
      </c>
      <c r="AJ34" s="90" t="s">
        <v>384</v>
      </c>
      <c r="AL34" s="90" t="s">
        <v>598</v>
      </c>
      <c r="AN34" s="90"/>
      <c r="AO34" s="90"/>
    </row>
    <row r="35" spans="1:41" x14ac:dyDescent="0.15">
      <c r="A35" s="10">
        <v>3</v>
      </c>
      <c r="B35" s="10" t="s">
        <v>65</v>
      </c>
      <c r="C35" s="10" t="str">
        <f t="shared" si="28"/>
        <v/>
      </c>
      <c r="D35" s="10" t="str">
        <f t="shared" si="29"/>
        <v/>
      </c>
      <c r="E35" s="85" t="str">
        <f t="shared" si="30"/>
        <v/>
      </c>
      <c r="F35" s="59" t="e">
        <f t="shared" si="31"/>
        <v>#N/A</v>
      </c>
      <c r="G35" s="109" t="str">
        <f t="shared" si="38"/>
        <v/>
      </c>
      <c r="H35" s="10">
        <v>3</v>
      </c>
      <c r="I35" s="10" t="s">
        <v>81</v>
      </c>
      <c r="J35" s="10" t="str">
        <f t="shared" si="32"/>
        <v/>
      </c>
      <c r="K35" s="10" t="str">
        <f t="shared" si="33"/>
        <v/>
      </c>
      <c r="L35" s="10" t="str">
        <f t="shared" si="34"/>
        <v/>
      </c>
      <c r="M35" s="69" t="e">
        <f t="shared" si="35"/>
        <v>#N/A</v>
      </c>
      <c r="N35" s="109" t="str">
        <f t="shared" si="39"/>
        <v/>
      </c>
      <c r="O35" s="126" t="s">
        <v>97</v>
      </c>
      <c r="P35" s="126" t="s">
        <v>630</v>
      </c>
      <c r="Q35" s="126"/>
      <c r="R35" s="126"/>
      <c r="S35" s="126"/>
      <c r="T35" s="127"/>
      <c r="U35" s="9">
        <f t="shared" si="12"/>
        <v>25</v>
      </c>
      <c r="V35" s="94" t="str">
        <f t="shared" si="36"/>
        <v/>
      </c>
      <c r="W35" s="94" t="str">
        <f t="shared" si="37"/>
        <v/>
      </c>
      <c r="AH35" s="90" t="s">
        <v>341</v>
      </c>
      <c r="AJ35" s="90" t="s">
        <v>385</v>
      </c>
      <c r="AL35" s="90" t="s">
        <v>126</v>
      </c>
    </row>
    <row r="36" spans="1:41" x14ac:dyDescent="0.15">
      <c r="A36" s="10">
        <v>3</v>
      </c>
      <c r="B36" s="10" t="s">
        <v>79</v>
      </c>
      <c r="C36" s="10" t="str">
        <f t="shared" si="28"/>
        <v/>
      </c>
      <c r="D36" s="10" t="str">
        <f t="shared" si="29"/>
        <v/>
      </c>
      <c r="E36" s="85" t="str">
        <f t="shared" si="30"/>
        <v/>
      </c>
      <c r="F36" s="59" t="e">
        <f t="shared" si="31"/>
        <v>#N/A</v>
      </c>
      <c r="G36" s="109" t="str">
        <f t="shared" si="38"/>
        <v/>
      </c>
      <c r="H36" s="10">
        <v>3</v>
      </c>
      <c r="I36" s="85" t="s">
        <v>94</v>
      </c>
      <c r="J36" s="10" t="str">
        <f t="shared" si="32"/>
        <v/>
      </c>
      <c r="K36" s="10" t="str">
        <f t="shared" si="33"/>
        <v/>
      </c>
      <c r="L36" s="10" t="str">
        <f t="shared" si="34"/>
        <v/>
      </c>
      <c r="M36" s="69" t="e">
        <f t="shared" si="35"/>
        <v>#N/A</v>
      </c>
      <c r="N36" s="109" t="str">
        <f t="shared" si="39"/>
        <v/>
      </c>
      <c r="O36" s="126" t="s">
        <v>632</v>
      </c>
      <c r="P36" s="126"/>
      <c r="Q36" s="126"/>
      <c r="R36" s="126"/>
      <c r="S36" s="126"/>
      <c r="T36" s="127"/>
      <c r="U36" s="9">
        <f t="shared" si="12"/>
        <v>26</v>
      </c>
      <c r="V36" s="94" t="str">
        <f t="shared" si="36"/>
        <v/>
      </c>
      <c r="W36" s="94" t="str">
        <f t="shared" si="37"/>
        <v/>
      </c>
      <c r="AH36" s="90" t="s">
        <v>339</v>
      </c>
      <c r="AJ36" s="90" t="s">
        <v>386</v>
      </c>
      <c r="AL36" s="90" t="s">
        <v>129</v>
      </c>
    </row>
    <row r="37" spans="1:41" x14ac:dyDescent="0.15">
      <c r="A37" s="10">
        <v>3</v>
      </c>
      <c r="B37" s="125" t="s">
        <v>611</v>
      </c>
      <c r="C37" s="10" t="str">
        <f t="shared" si="28"/>
        <v/>
      </c>
      <c r="D37" s="10" t="str">
        <f t="shared" si="29"/>
        <v/>
      </c>
      <c r="E37" s="85" t="str">
        <f t="shared" si="30"/>
        <v/>
      </c>
      <c r="F37" s="59" t="e">
        <f t="shared" si="31"/>
        <v>#N/A</v>
      </c>
      <c r="G37" s="109" t="str">
        <f t="shared" si="38"/>
        <v/>
      </c>
      <c r="H37" s="10">
        <v>3</v>
      </c>
      <c r="I37" s="125" t="s">
        <v>612</v>
      </c>
      <c r="J37" s="10" t="str">
        <f t="shared" si="32"/>
        <v/>
      </c>
      <c r="K37" s="10" t="str">
        <f t="shared" si="33"/>
        <v/>
      </c>
      <c r="L37" s="10" t="str">
        <f t="shared" si="34"/>
        <v/>
      </c>
      <c r="M37" s="69" t="e">
        <f t="shared" si="35"/>
        <v>#N/A</v>
      </c>
      <c r="N37" s="109" t="str">
        <f t="shared" si="39"/>
        <v/>
      </c>
      <c r="O37" s="126" t="s">
        <v>631</v>
      </c>
      <c r="P37" s="126"/>
      <c r="Q37" s="126"/>
      <c r="R37" s="126"/>
      <c r="S37" s="126"/>
      <c r="T37" s="127"/>
      <c r="U37" s="9">
        <f t="shared" si="12"/>
        <v>27</v>
      </c>
      <c r="V37" s="94" t="str">
        <f t="shared" ref="V37:V38" si="40">IF(ISNUMBER(MATCH(B37,$C$93:$C$168,0)),MATCH(B37,$C$93:$C$168,0),"")</f>
        <v/>
      </c>
      <c r="W37" s="94" t="str">
        <f t="shared" ref="W37:W38" si="41">IF(ISNUMBER(MATCH(I37,$C$93:$C$168,0)),MATCH(I37,$C$93:$C$168,0),"")</f>
        <v/>
      </c>
      <c r="AH37" s="90" t="s">
        <v>338</v>
      </c>
      <c r="AJ37" s="90" t="s">
        <v>387</v>
      </c>
      <c r="AL37" s="90" t="s">
        <v>602</v>
      </c>
    </row>
    <row r="38" spans="1:41" x14ac:dyDescent="0.15">
      <c r="A38" s="10">
        <v>3</v>
      </c>
      <c r="B38" s="85" t="s">
        <v>623</v>
      </c>
      <c r="C38" s="85"/>
      <c r="D38" s="10" t="str">
        <f t="shared" si="29"/>
        <v/>
      </c>
      <c r="E38" s="85" t="str">
        <f t="shared" si="30"/>
        <v/>
      </c>
      <c r="F38" s="59" t="e">
        <f t="shared" si="31"/>
        <v>#N/A</v>
      </c>
      <c r="G38" s="109" t="str">
        <f t="shared" si="38"/>
        <v/>
      </c>
      <c r="H38" s="10">
        <v>3</v>
      </c>
      <c r="I38" s="85" t="s">
        <v>613</v>
      </c>
      <c r="J38" s="10" t="str">
        <f t="shared" si="32"/>
        <v/>
      </c>
      <c r="K38" s="10" t="str">
        <f t="shared" si="33"/>
        <v/>
      </c>
      <c r="L38" s="10" t="str">
        <f t="shared" si="34"/>
        <v/>
      </c>
      <c r="M38" s="69" t="e">
        <f t="shared" si="35"/>
        <v>#N/A</v>
      </c>
      <c r="N38" s="109" t="str">
        <f t="shared" si="39"/>
        <v/>
      </c>
      <c r="O38" s="126"/>
      <c r="P38" s="126"/>
      <c r="Q38" s="126"/>
      <c r="R38" s="126"/>
      <c r="S38" s="126"/>
      <c r="T38" s="127"/>
      <c r="U38" s="9">
        <f t="shared" si="12"/>
        <v>28</v>
      </c>
      <c r="V38" s="94" t="str">
        <f t="shared" si="40"/>
        <v/>
      </c>
      <c r="W38" s="94" t="str">
        <f t="shared" si="41"/>
        <v/>
      </c>
      <c r="Y38" s="9"/>
      <c r="Z38" s="9"/>
      <c r="AA38" s="9"/>
      <c r="AB38" s="9"/>
      <c r="AH38" s="90" t="s">
        <v>342</v>
      </c>
      <c r="AJ38" s="90" t="s">
        <v>388</v>
      </c>
      <c r="AL38" s="90" t="s">
        <v>132</v>
      </c>
    </row>
    <row r="39" spans="1:41" x14ac:dyDescent="0.15">
      <c r="A39" s="10"/>
      <c r="B39" s="10"/>
      <c r="C39" s="10" t="str">
        <f t="shared" si="28"/>
        <v/>
      </c>
      <c r="D39" s="10" t="str">
        <f t="shared" si="29"/>
        <v/>
      </c>
      <c r="E39" s="85" t="str">
        <f t="shared" si="30"/>
        <v/>
      </c>
      <c r="F39" s="59" t="e">
        <f t="shared" si="31"/>
        <v>#N/A</v>
      </c>
      <c r="G39" s="109" t="str">
        <f t="shared" si="38"/>
        <v/>
      </c>
      <c r="H39" s="10"/>
      <c r="I39" s="10"/>
      <c r="J39" s="10" t="str">
        <f t="shared" si="32"/>
        <v/>
      </c>
      <c r="K39" s="10" t="str">
        <f t="shared" si="33"/>
        <v/>
      </c>
      <c r="L39" s="10" t="str">
        <f t="shared" si="34"/>
        <v/>
      </c>
      <c r="M39" s="69" t="e">
        <f t="shared" si="35"/>
        <v>#N/A</v>
      </c>
      <c r="N39" s="109" t="str">
        <f t="shared" si="39"/>
        <v/>
      </c>
      <c r="O39" s="126" t="s">
        <v>41</v>
      </c>
      <c r="P39" s="126"/>
      <c r="Q39" s="126"/>
      <c r="R39" s="126"/>
      <c r="S39" s="126"/>
      <c r="T39" s="126"/>
      <c r="U39" s="9">
        <f t="shared" si="12"/>
        <v>29</v>
      </c>
      <c r="V39" s="94" t="str">
        <f t="shared" si="36"/>
        <v/>
      </c>
      <c r="W39" s="94" t="str">
        <f t="shared" si="37"/>
        <v/>
      </c>
      <c r="AH39" s="90" t="s">
        <v>343</v>
      </c>
      <c r="AJ39" s="90" t="s">
        <v>389</v>
      </c>
      <c r="AL39" s="90" t="s">
        <v>595</v>
      </c>
    </row>
    <row r="40" spans="1:41" x14ac:dyDescent="0.15">
      <c r="G40" s="109"/>
      <c r="N40" s="60"/>
      <c r="O40" s="126"/>
      <c r="P40" s="126"/>
      <c r="Q40" s="126"/>
      <c r="R40" s="126"/>
      <c r="S40" s="126"/>
      <c r="T40" s="126"/>
      <c r="U40" s="9">
        <f t="shared" si="12"/>
        <v>30</v>
      </c>
      <c r="V40" s="87"/>
      <c r="W40" s="87"/>
      <c r="AH40" s="90" t="s">
        <v>344</v>
      </c>
      <c r="AJ40" s="90" t="s">
        <v>390</v>
      </c>
      <c r="AL40" s="90" t="s">
        <v>127</v>
      </c>
    </row>
    <row r="41" spans="1:41" x14ac:dyDescent="0.15">
      <c r="A41" s="13" t="s">
        <v>27</v>
      </c>
      <c r="B41" s="12"/>
      <c r="C41" s="13">
        <f>J30</f>
        <v>2025</v>
      </c>
      <c r="D41" s="14"/>
      <c r="E41" s="15"/>
      <c r="F41" s="56"/>
      <c r="G41" s="109"/>
      <c r="H41" s="13" t="s">
        <v>28</v>
      </c>
      <c r="I41" s="12"/>
      <c r="J41" s="13">
        <f>C41+1</f>
        <v>2026</v>
      </c>
      <c r="K41" s="14"/>
      <c r="L41" s="15"/>
      <c r="M41" s="56"/>
      <c r="N41" s="60"/>
      <c r="O41" s="126" t="s">
        <v>100</v>
      </c>
      <c r="P41" s="126"/>
      <c r="Q41" s="126"/>
      <c r="R41" s="126"/>
      <c r="S41" s="126"/>
      <c r="T41" s="126"/>
      <c r="U41" s="9">
        <f t="shared" si="12"/>
        <v>31</v>
      </c>
      <c r="V41" s="87"/>
      <c r="W41" s="87"/>
      <c r="AH41" s="90" t="s">
        <v>345</v>
      </c>
      <c r="AJ41" s="90" t="s">
        <v>391</v>
      </c>
      <c r="AL41" s="90" t="s">
        <v>594</v>
      </c>
    </row>
    <row r="42" spans="1:41" ht="14" thickBot="1" x14ac:dyDescent="0.2">
      <c r="A42" s="16" t="s">
        <v>42</v>
      </c>
      <c r="B42" s="16"/>
      <c r="C42" s="16"/>
      <c r="D42" s="17" t="s">
        <v>30</v>
      </c>
      <c r="E42" s="18">
        <f>SUM(A44:A50)</f>
        <v>15</v>
      </c>
      <c r="F42" s="57"/>
      <c r="G42" s="109"/>
      <c r="H42" s="16" t="s">
        <v>43</v>
      </c>
      <c r="I42" s="16"/>
      <c r="J42" s="16"/>
      <c r="K42" s="17" t="s">
        <v>30</v>
      </c>
      <c r="L42" s="18">
        <f>SUM(H44:H50)</f>
        <v>15</v>
      </c>
      <c r="M42" s="57"/>
      <c r="N42" s="60"/>
      <c r="U42" s="9">
        <f t="shared" si="12"/>
        <v>32</v>
      </c>
      <c r="V42" s="87"/>
      <c r="W42" s="87"/>
      <c r="AH42" s="90" t="s">
        <v>346</v>
      </c>
      <c r="AJ42" s="90" t="s">
        <v>392</v>
      </c>
      <c r="AL42" s="90" t="s">
        <v>128</v>
      </c>
    </row>
    <row r="43" spans="1:41" ht="14" thickBot="1" x14ac:dyDescent="0.2">
      <c r="A43" s="8" t="s">
        <v>33</v>
      </c>
      <c r="B43" s="8" t="s">
        <v>1</v>
      </c>
      <c r="C43" s="10" t="s">
        <v>34</v>
      </c>
      <c r="D43" s="8" t="s">
        <v>35</v>
      </c>
      <c r="E43" s="8" t="s">
        <v>36</v>
      </c>
      <c r="F43" s="58"/>
      <c r="G43" s="109"/>
      <c r="H43" s="8" t="s">
        <v>33</v>
      </c>
      <c r="I43" s="8" t="s">
        <v>1</v>
      </c>
      <c r="J43" s="10" t="s">
        <v>34</v>
      </c>
      <c r="K43" s="8" t="s">
        <v>35</v>
      </c>
      <c r="L43" s="8" t="s">
        <v>36</v>
      </c>
      <c r="M43" s="58"/>
      <c r="N43" s="60"/>
      <c r="P43" s="120" t="s">
        <v>86</v>
      </c>
      <c r="Q43" s="121" t="s">
        <v>137</v>
      </c>
      <c r="R43" s="122"/>
      <c r="T43" s="9"/>
      <c r="U43" s="9">
        <f t="shared" si="12"/>
        <v>33</v>
      </c>
      <c r="V43" s="87"/>
      <c r="W43" s="87"/>
      <c r="AH43" s="90" t="s">
        <v>347</v>
      </c>
      <c r="AJ43" s="90" t="s">
        <v>393</v>
      </c>
      <c r="AL43" s="90" t="s">
        <v>597</v>
      </c>
    </row>
    <row r="44" spans="1:41" x14ac:dyDescent="0.15">
      <c r="A44" s="10">
        <v>3</v>
      </c>
      <c r="B44" s="10" t="s">
        <v>82</v>
      </c>
      <c r="C44" s="10" t="str">
        <f t="shared" ref="C44:C50" si="42">IF($V44="","",IF(INDEX($B$93:$G$164,$V44,2)=$B44,"",INDEX($B$93:$G$164,$V44,2)))</f>
        <v/>
      </c>
      <c r="D44" s="10" t="str">
        <f t="shared" ref="D44:D50" si="43">IF($V44="","",INDEX($B$93:$G$164,$V44,4))</f>
        <v/>
      </c>
      <c r="E44" s="85" t="str">
        <f t="shared" ref="E44:E50" si="44">IF($V44="","",INDEX($B$93:$G$164,$V44,1))</f>
        <v/>
      </c>
      <c r="F44" s="59" t="e">
        <f t="shared" ref="F44:F50" si="45">IF(ISNUMBER(D44),D44*A44,IF(ISBLANK(D44),0,VLOOKUP(D44,$A$52:$B$54,2,FALSE)*A44))</f>
        <v>#N/A</v>
      </c>
      <c r="G44" s="110" t="str">
        <f t="shared" ref="G44:G50" si="46">IF(ISERROR(INDEX(A$93:S$482,V44,19)),"",INDEX(A$93:S$482,V44,19))</f>
        <v/>
      </c>
      <c r="H44" s="85">
        <v>3</v>
      </c>
      <c r="I44" s="85" t="s">
        <v>84</v>
      </c>
      <c r="J44" s="85" t="str">
        <f t="shared" ref="J44:J50" si="47">IF($W44="","",IF(INDEX($B$93:$G$164,$W44,2)=$I44,"",INDEX($B$93:$G$164,$W44,2)))</f>
        <v/>
      </c>
      <c r="K44" s="85" t="str">
        <f t="shared" ref="K44:K50" si="48">IF($W44="","",INDEX($B$93:$G$164,$W44,4))</f>
        <v/>
      </c>
      <c r="L44" s="10" t="str">
        <f t="shared" ref="L44:L50" si="49">IF($W44="","",INDEX($B$93:$G$164,$W44,1))</f>
        <v/>
      </c>
      <c r="M44" s="69" t="e">
        <f t="shared" ref="M44:M50" si="50">IF(ISNUMBER(K44),K44*H44,IF(ISBLANK(K44),0,VLOOKUP(K44,$A$52:$B$54,2,FALSE)*H44))</f>
        <v>#N/A</v>
      </c>
      <c r="N44" s="109" t="str">
        <f t="shared" ref="N44:N50" si="51">IF(ISERROR(INDEX(A$93:S$482,W44,19)),"",INDEX(A$93:S$482,W44,19))</f>
        <v/>
      </c>
      <c r="P44" s="123" t="str">
        <f>IF($Q$43="","",IF(INDEX($AH$2:$BB$12,1,MATCH($Q$43,$AH$1:$BB$1,0))="","",INDEX($AH$2:$BB$12,1,MATCH($Q$43,$AH$1:$BB$1,0))))</f>
        <v>MATH 1231</v>
      </c>
      <c r="Q44" s="82" t="str">
        <f t="shared" ref="Q44:Q54" si="52">IF($T44="","",INDEX($B$93:$G$164,$T44,1))</f>
        <v/>
      </c>
      <c r="R44" s="83" t="str">
        <f t="shared" ref="R44:R54" si="53">IF($T44="","",IF(INDEX($B$93:$G$164,$T44,4)="","",INDEX($B$93:$G$164,$T44,4)))</f>
        <v/>
      </c>
      <c r="T44" s="9" t="str">
        <f t="shared" ref="T44:T54" si="54">IF(ISNUMBER(MATCH(P44,$C$93:$C$168,0)),MATCH(P44,$C$93:$C$168,0),"")</f>
        <v/>
      </c>
      <c r="U44" s="9">
        <f t="shared" si="12"/>
        <v>34</v>
      </c>
      <c r="V44" s="94" t="str">
        <f t="shared" ref="V44:V50" si="55">IF(ISNUMBER(MATCH(B44,$C$93:$C$168,0)),MATCH(B44,$C$93:$C$168,0),"")</f>
        <v/>
      </c>
      <c r="W44" s="94" t="str">
        <f t="shared" ref="W44:W50" si="56">IF(ISNUMBER(MATCH(I44,$C$93:$C$168,0)),MATCH(I44,$C$93:$C$168,0),"")</f>
        <v/>
      </c>
      <c r="AH44" s="90" t="s">
        <v>348</v>
      </c>
      <c r="AJ44" s="90" t="s">
        <v>394</v>
      </c>
      <c r="AL44" s="90" t="s">
        <v>596</v>
      </c>
    </row>
    <row r="45" spans="1:41" x14ac:dyDescent="0.15">
      <c r="A45" s="10">
        <v>3</v>
      </c>
      <c r="B45" s="10" t="s">
        <v>83</v>
      </c>
      <c r="C45" s="10" t="str">
        <f t="shared" si="42"/>
        <v/>
      </c>
      <c r="D45" s="10" t="str">
        <f t="shared" si="43"/>
        <v/>
      </c>
      <c r="E45" s="85" t="str">
        <f t="shared" si="44"/>
        <v/>
      </c>
      <c r="F45" s="59" t="e">
        <f t="shared" si="45"/>
        <v>#N/A</v>
      </c>
      <c r="G45" s="110" t="str">
        <f t="shared" si="46"/>
        <v/>
      </c>
      <c r="H45" s="85">
        <v>3</v>
      </c>
      <c r="I45" s="85" t="s">
        <v>87</v>
      </c>
      <c r="J45" s="85" t="str">
        <f t="shared" si="47"/>
        <v/>
      </c>
      <c r="K45" s="85" t="str">
        <f t="shared" si="48"/>
        <v/>
      </c>
      <c r="L45" s="10" t="str">
        <f t="shared" si="49"/>
        <v/>
      </c>
      <c r="M45" s="69" t="e">
        <f t="shared" si="50"/>
        <v>#N/A</v>
      </c>
      <c r="N45" s="109" t="str">
        <f t="shared" si="51"/>
        <v/>
      </c>
      <c r="P45" s="77" t="str">
        <f>IF($Q$43="","",IF(INDEX($AH$2:$BB$12,2,MATCH($Q$43,$AH$1:$BB$1,0))="","",INDEX($AH$2:$BB$12,2,MATCH($Q$43,$AH$1:$BB$1,0))))</f>
        <v>MATH 1232</v>
      </c>
      <c r="Q45" s="74" t="str">
        <f t="shared" si="52"/>
        <v/>
      </c>
      <c r="R45" s="78" t="str">
        <f t="shared" si="53"/>
        <v/>
      </c>
      <c r="T45" s="9" t="str">
        <f t="shared" si="54"/>
        <v/>
      </c>
      <c r="U45" s="9">
        <f t="shared" si="12"/>
        <v>35</v>
      </c>
      <c r="V45" s="94" t="str">
        <f t="shared" si="55"/>
        <v/>
      </c>
      <c r="W45" s="94" t="str">
        <f t="shared" si="56"/>
        <v/>
      </c>
      <c r="AH45" s="90" t="s">
        <v>349</v>
      </c>
      <c r="AJ45" s="90" t="s">
        <v>395</v>
      </c>
      <c r="AL45" s="90" t="s">
        <v>599</v>
      </c>
    </row>
    <row r="46" spans="1:41" x14ac:dyDescent="0.15">
      <c r="A46" s="10">
        <v>3</v>
      </c>
      <c r="B46" s="10" t="s">
        <v>66</v>
      </c>
      <c r="C46" s="10" t="str">
        <f t="shared" si="42"/>
        <v/>
      </c>
      <c r="D46" s="10" t="str">
        <f t="shared" si="43"/>
        <v/>
      </c>
      <c r="E46" s="85" t="str">
        <f t="shared" si="44"/>
        <v/>
      </c>
      <c r="F46" s="59" t="e">
        <f t="shared" si="45"/>
        <v>#N/A</v>
      </c>
      <c r="G46" s="110" t="str">
        <f t="shared" si="46"/>
        <v/>
      </c>
      <c r="H46" s="85">
        <v>3</v>
      </c>
      <c r="I46" s="85" t="s">
        <v>616</v>
      </c>
      <c r="J46" s="85" t="str">
        <f t="shared" si="47"/>
        <v/>
      </c>
      <c r="K46" s="85" t="str">
        <f t="shared" si="48"/>
        <v/>
      </c>
      <c r="L46" s="10" t="str">
        <f t="shared" si="49"/>
        <v/>
      </c>
      <c r="M46" s="69" t="e">
        <f t="shared" si="50"/>
        <v>#N/A</v>
      </c>
      <c r="N46" s="109" t="str">
        <f t="shared" si="51"/>
        <v/>
      </c>
      <c r="O46" s="45"/>
      <c r="P46" s="77" t="str">
        <f>IF($Q$43="","",IF(INDEX($AH$2:$BB$12,3,MATCH($Q$43,$AH$1:$BB$1,0))="","",INDEX($AH$2:$BB$12,3,MATCH($Q$43,$AH$1:$BB$1,0))))</f>
        <v>MATH 2233</v>
      </c>
      <c r="Q46" s="74" t="str">
        <f t="shared" si="52"/>
        <v/>
      </c>
      <c r="R46" s="78" t="str">
        <f t="shared" si="53"/>
        <v/>
      </c>
      <c r="T46" s="9" t="str">
        <f t="shared" si="54"/>
        <v/>
      </c>
      <c r="U46" s="9">
        <f t="shared" si="12"/>
        <v>36</v>
      </c>
      <c r="V46" s="94" t="str">
        <f t="shared" si="55"/>
        <v/>
      </c>
      <c r="W46" s="94" t="str">
        <f t="shared" si="56"/>
        <v/>
      </c>
      <c r="AH46" s="90" t="s">
        <v>350</v>
      </c>
      <c r="AJ46" s="90" t="s">
        <v>396</v>
      </c>
      <c r="AL46" s="90" t="s">
        <v>136</v>
      </c>
    </row>
    <row r="47" spans="1:41" x14ac:dyDescent="0.15">
      <c r="A47" s="10">
        <v>3</v>
      </c>
      <c r="B47" s="125" t="s">
        <v>615</v>
      </c>
      <c r="C47" s="10" t="str">
        <f t="shared" si="42"/>
        <v/>
      </c>
      <c r="D47" s="10" t="str">
        <f t="shared" si="43"/>
        <v/>
      </c>
      <c r="E47" s="85" t="str">
        <f t="shared" si="44"/>
        <v/>
      </c>
      <c r="F47" s="59" t="e">
        <f t="shared" si="45"/>
        <v>#N/A</v>
      </c>
      <c r="G47" s="110" t="str">
        <f t="shared" si="46"/>
        <v/>
      </c>
      <c r="H47" s="85">
        <v>3</v>
      </c>
      <c r="I47" s="85" t="s">
        <v>617</v>
      </c>
      <c r="J47" s="85" t="str">
        <f t="shared" si="47"/>
        <v/>
      </c>
      <c r="K47" s="85" t="str">
        <f t="shared" si="48"/>
        <v/>
      </c>
      <c r="L47" s="10" t="str">
        <f t="shared" si="49"/>
        <v/>
      </c>
      <c r="M47" s="69" t="e">
        <f t="shared" si="50"/>
        <v>#N/A</v>
      </c>
      <c r="N47" s="109" t="str">
        <f t="shared" si="51"/>
        <v/>
      </c>
      <c r="P47" s="77" t="str">
        <f>IF($Q$43="","",IF(INDEX($AH$2:$BB$12,4,MATCH($Q$43,$AH$1:$BB$1,0))="","",INDEX($AH$2:$BB$12,4,MATCH($Q$43,$AH$1:$BB$1,0))))</f>
        <v>APSC 2113</v>
      </c>
      <c r="Q47" s="74" t="str">
        <f t="shared" si="52"/>
        <v/>
      </c>
      <c r="R47" s="78" t="str">
        <f t="shared" si="53"/>
        <v/>
      </c>
      <c r="T47" s="9" t="str">
        <f t="shared" si="54"/>
        <v/>
      </c>
      <c r="U47" s="9">
        <f t="shared" si="12"/>
        <v>37</v>
      </c>
      <c r="V47" s="94" t="str">
        <f t="shared" si="55"/>
        <v/>
      </c>
      <c r="W47" s="94" t="str">
        <f t="shared" si="56"/>
        <v/>
      </c>
      <c r="AH47" s="90" t="s">
        <v>351</v>
      </c>
      <c r="AJ47" s="90" t="s">
        <v>397</v>
      </c>
      <c r="AL47" s="90" t="s">
        <v>601</v>
      </c>
    </row>
    <row r="48" spans="1:41" x14ac:dyDescent="0.15">
      <c r="A48" s="10">
        <v>3</v>
      </c>
      <c r="B48" s="85" t="s">
        <v>614</v>
      </c>
      <c r="C48" s="10" t="str">
        <f t="shared" si="42"/>
        <v/>
      </c>
      <c r="D48" s="10" t="str">
        <f t="shared" si="43"/>
        <v/>
      </c>
      <c r="E48" s="85" t="str">
        <f t="shared" si="44"/>
        <v/>
      </c>
      <c r="F48" s="59" t="e">
        <f t="shared" si="45"/>
        <v>#N/A</v>
      </c>
      <c r="G48" s="110" t="str">
        <f t="shared" si="46"/>
        <v/>
      </c>
      <c r="H48" s="85">
        <v>3</v>
      </c>
      <c r="I48" s="85" t="s">
        <v>618</v>
      </c>
      <c r="J48" s="85" t="str">
        <f t="shared" si="47"/>
        <v/>
      </c>
      <c r="K48" s="85" t="str">
        <f t="shared" si="48"/>
        <v/>
      </c>
      <c r="L48" s="10" t="str">
        <f t="shared" si="49"/>
        <v/>
      </c>
      <c r="M48" s="69" t="e">
        <f t="shared" si="50"/>
        <v>#N/A</v>
      </c>
      <c r="N48" s="109" t="str">
        <f t="shared" si="51"/>
        <v/>
      </c>
      <c r="O48" s="45"/>
      <c r="P48" s="77" t="str">
        <f>IF($Q$43="","",IF(INDEX($AH$2:$BB$12,5,MATCH($Q$43,$AH$1:$BB$1,0))="","",INDEX($AH$2:$BB$12,5,MATCH($Q$43,$AH$1:$BB$1,0))))</f>
        <v>PHYS 1021</v>
      </c>
      <c r="Q48" s="74" t="str">
        <f t="shared" si="52"/>
        <v/>
      </c>
      <c r="R48" s="78" t="str">
        <f t="shared" si="53"/>
        <v/>
      </c>
      <c r="T48" s="9" t="str">
        <f t="shared" si="54"/>
        <v/>
      </c>
      <c r="U48" s="9">
        <f t="shared" si="12"/>
        <v>38</v>
      </c>
      <c r="V48" s="94" t="str">
        <f t="shared" si="55"/>
        <v/>
      </c>
      <c r="W48" s="94" t="str">
        <f t="shared" si="56"/>
        <v/>
      </c>
      <c r="AH48" s="90" t="s">
        <v>75</v>
      </c>
      <c r="AJ48" s="90" t="s">
        <v>398</v>
      </c>
      <c r="AL48" s="90" t="s">
        <v>600</v>
      </c>
    </row>
    <row r="49" spans="1:38" x14ac:dyDescent="0.15">
      <c r="A49" s="10"/>
      <c r="B49" s="10"/>
      <c r="C49" s="10" t="str">
        <f t="shared" si="42"/>
        <v/>
      </c>
      <c r="D49" s="10" t="str">
        <f t="shared" si="43"/>
        <v/>
      </c>
      <c r="E49" s="85" t="str">
        <f t="shared" si="44"/>
        <v/>
      </c>
      <c r="F49" s="59" t="e">
        <f t="shared" si="45"/>
        <v>#N/A</v>
      </c>
      <c r="G49" s="110" t="str">
        <f t="shared" si="46"/>
        <v/>
      </c>
      <c r="H49" s="10"/>
      <c r="I49" s="10"/>
      <c r="J49" s="10" t="str">
        <f t="shared" si="47"/>
        <v/>
      </c>
      <c r="K49" s="10" t="str">
        <f t="shared" si="48"/>
        <v/>
      </c>
      <c r="L49" s="10" t="str">
        <f t="shared" si="49"/>
        <v/>
      </c>
      <c r="M49" s="69" t="e">
        <f t="shared" si="50"/>
        <v>#N/A</v>
      </c>
      <c r="N49" s="109" t="str">
        <f t="shared" si="51"/>
        <v/>
      </c>
      <c r="O49" s="45"/>
      <c r="P49" s="77" t="str">
        <f>IF($Q$43="","",IF(INDEX($AH$2:$BB$12,6,MATCH($Q$43,$AH$1:$BB$1,0))="","",INDEX($AH$2:$BB$12,6,MATCH($Q$43,$AH$1:$BB$1,0))))</f>
        <v>APSC 2057</v>
      </c>
      <c r="Q49" s="74" t="str">
        <f t="shared" si="52"/>
        <v/>
      </c>
      <c r="R49" s="78" t="str">
        <f t="shared" si="53"/>
        <v/>
      </c>
      <c r="T49" s="9" t="str">
        <f t="shared" si="54"/>
        <v/>
      </c>
      <c r="U49" s="9">
        <f t="shared" si="12"/>
        <v>39</v>
      </c>
      <c r="V49" s="94" t="str">
        <f t="shared" si="55"/>
        <v/>
      </c>
      <c r="W49" s="94" t="str">
        <f t="shared" si="56"/>
        <v/>
      </c>
      <c r="AH49" s="90" t="s">
        <v>167</v>
      </c>
      <c r="AJ49" s="90" t="s">
        <v>399</v>
      </c>
      <c r="AL49" s="90" t="s">
        <v>299</v>
      </c>
    </row>
    <row r="50" spans="1:38" x14ac:dyDescent="0.15">
      <c r="A50" s="10"/>
      <c r="B50" s="10"/>
      <c r="C50" s="10" t="str">
        <f t="shared" si="42"/>
        <v/>
      </c>
      <c r="D50" s="10" t="str">
        <f t="shared" si="43"/>
        <v/>
      </c>
      <c r="E50" s="85" t="str">
        <f t="shared" si="44"/>
        <v/>
      </c>
      <c r="F50" s="59" t="e">
        <f t="shared" si="45"/>
        <v>#N/A</v>
      </c>
      <c r="G50" s="110" t="str">
        <f t="shared" si="46"/>
        <v/>
      </c>
      <c r="H50" s="10"/>
      <c r="I50" s="10"/>
      <c r="J50" s="10" t="str">
        <f t="shared" si="47"/>
        <v/>
      </c>
      <c r="K50" s="10" t="str">
        <f t="shared" si="48"/>
        <v/>
      </c>
      <c r="L50" s="10" t="str">
        <f t="shared" si="49"/>
        <v/>
      </c>
      <c r="M50" s="69" t="e">
        <f t="shared" si="50"/>
        <v>#N/A</v>
      </c>
      <c r="N50" s="109" t="str">
        <f t="shared" si="51"/>
        <v/>
      </c>
      <c r="O50" s="45"/>
      <c r="P50" s="77" t="str">
        <f>IF($Q$43="","",IF(INDEX($AH$2:$BB$12,7,MATCH($Q$43,$AH$1:$BB$1,0))="","",INDEX($AH$2:$BB$12,7,MATCH($Q$43,$AH$1:$BB$1,0))))</f>
        <v>APSC 2058</v>
      </c>
      <c r="Q50" s="74" t="str">
        <f t="shared" si="52"/>
        <v/>
      </c>
      <c r="R50" s="78" t="str">
        <f t="shared" si="53"/>
        <v/>
      </c>
      <c r="T50" s="9" t="str">
        <f t="shared" si="54"/>
        <v/>
      </c>
      <c r="U50" s="9">
        <f t="shared" si="12"/>
        <v>40</v>
      </c>
      <c r="V50" s="94" t="str">
        <f t="shared" si="55"/>
        <v/>
      </c>
      <c r="W50" s="94" t="str">
        <f t="shared" si="56"/>
        <v/>
      </c>
      <c r="AH50" s="90" t="s">
        <v>352</v>
      </c>
      <c r="AJ50" s="90" t="s">
        <v>400</v>
      </c>
    </row>
    <row r="51" spans="1:38" x14ac:dyDescent="0.15">
      <c r="P51" s="77" t="str">
        <f>IF($Q$43="","",IF(INDEX($AH$2:$BB$12,8,MATCH($Q$43,$AH$1:$BB$1,0))="","",INDEX($AH$2:$BB$12,8,MATCH($Q$43,$AH$1:$BB$1,0))))</f>
        <v>CE 2220</v>
      </c>
      <c r="Q51" s="74" t="str">
        <f t="shared" si="52"/>
        <v/>
      </c>
      <c r="R51" s="78" t="str">
        <f t="shared" si="53"/>
        <v/>
      </c>
      <c r="T51" s="9" t="str">
        <f t="shared" si="54"/>
        <v/>
      </c>
      <c r="U51" s="9"/>
      <c r="V51" s="9"/>
      <c r="W51" s="9"/>
      <c r="AB51" s="95"/>
      <c r="AH51" s="90" t="s">
        <v>353</v>
      </c>
      <c r="AJ51" s="90" t="s">
        <v>401</v>
      </c>
    </row>
    <row r="52" spans="1:38" x14ac:dyDescent="0.15">
      <c r="B52" s="160" t="s">
        <v>57</v>
      </c>
      <c r="C52" s="158"/>
      <c r="D52" s="156" t="str">
        <f>IF(ISERR(ROUND(L164,2)),"",ROUND(L164,2))</f>
        <v/>
      </c>
      <c r="E52" s="156"/>
      <c r="P52" s="77" t="str">
        <f>IF($Q$43="","",IF(INDEX($AH$2:$BB$11,9,MATCH($Q$43,$AH$1:$BB$1,0))="","",INDEX($AH$2:$BB$11,9,MATCH($Q$43,$AH$1:$BB$1,0))))</f>
        <v>MAE 2131</v>
      </c>
      <c r="Q52" s="74" t="str">
        <f t="shared" si="52"/>
        <v/>
      </c>
      <c r="R52" s="78" t="str">
        <f t="shared" si="53"/>
        <v/>
      </c>
      <c r="T52" s="9" t="str">
        <f t="shared" si="54"/>
        <v/>
      </c>
      <c r="U52" s="9"/>
      <c r="V52" s="9"/>
      <c r="W52" s="9">
        <v>1</v>
      </c>
      <c r="X52" t="s">
        <v>101</v>
      </c>
      <c r="Y52" t="s">
        <v>102</v>
      </c>
      <c r="AH52" s="90" t="s">
        <v>354</v>
      </c>
      <c r="AJ52" s="90" t="s">
        <v>402</v>
      </c>
    </row>
    <row r="53" spans="1:38" x14ac:dyDescent="0.15">
      <c r="B53" s="158" t="s">
        <v>44</v>
      </c>
      <c r="C53" s="158"/>
      <c r="D53" s="156" t="str">
        <f>IF(ISERR(ROUND(IF(SUM(,S93:S163)=0,"",SUMPRODUCT(I93:I163,S93:S163)/(SUMPRODUCT(D93:D163,S93:S163)-SUMIFS(D$93:D163,E$93:E163,"=I",S$93:S163,"=1")-SUMIFS(D$93:D163,E$93:E163,"=P",S$93:S163,"=1")-SUMIFS(D$93:D163,E$93:E163,"=R",S$93:S163,"=1")-SUMIFS(D$93:D163,E$93:E163,"=S",S$93:S163,"=1")-SUMIFS(D$93:D163,E$93:E163,"=W",S$93:S163,"=1")-SUMIFS(D$93:D163,E$93:E163,"=Z",S$93:S163,"=1")-SUMIFS(D$93:D163,E$93:E163,"=RP",S$93:S163,"=1"))),2)),"",ROUND(IF(SUM(,S93:S163)=0,"",SUMPRODUCT(I93:I163,S93:S163)/(SUMPRODUCT(D93:D163,S93:S163)-SUMIFS(D$93:D163,E$93:E163,"=I",S$93:S163,"=1")-SUMIFS(D$93:D163,E$93:E163,"=P",S$93:S163,"=1")-SUMIFS(D$93:D163,E$93:E163,"=R",S$93:S163,"=1")-SUMIFS(D$93:D163,E$93:E163,"=S",S$93:S163,"=1")-SUMIFS(D$93:D163,E$93:E163,"=W",S$93:S163,"=1")-SUMIFS(D$93:D163,E$93:E163,"=Z",S$93:S163,"=1")-SUMIFS(D$93:D163,E$93:E163,"=RP",S$93:S163,"=1"))),2))</f>
        <v/>
      </c>
      <c r="E53" s="156"/>
      <c r="P53" s="77" t="str">
        <f>IF($Q$43="","",IF(INDEX($AH$2:$BB$12,10,MATCH($Q$43,$AH$1:$BB$1,0))="","",INDEX($AH$2:$BB$12,10,MATCH($Q$43,$AH$1:$BB$1,0))))</f>
        <v>MAE 3126</v>
      </c>
      <c r="Q53" s="74" t="str">
        <f t="shared" si="52"/>
        <v/>
      </c>
      <c r="R53" s="78" t="str">
        <f t="shared" si="53"/>
        <v/>
      </c>
      <c r="T53" s="9" t="str">
        <f t="shared" si="54"/>
        <v/>
      </c>
      <c r="U53" s="9"/>
      <c r="V53" s="9"/>
      <c r="W53" s="9">
        <f t="shared" ref="W53:W101" si="57">W52+1</f>
        <v>2</v>
      </c>
      <c r="X53" t="s">
        <v>101</v>
      </c>
      <c r="Y53" t="s">
        <v>102</v>
      </c>
      <c r="AH53" s="90" t="s">
        <v>355</v>
      </c>
      <c r="AJ53" s="90" t="s">
        <v>403</v>
      </c>
    </row>
    <row r="54" spans="1:38" ht="14" thickBot="1" x14ac:dyDescent="0.2">
      <c r="B54" s="160" t="s">
        <v>58</v>
      </c>
      <c r="C54" s="158"/>
      <c r="D54" s="156" t="str">
        <f>IF(ISERR(ROUND(IF(SUM(,R93:R163)=0,"",SUMPRODUCT(I93:I163,R93:R163)/(SUMPRODUCT(D93:D163,R93:R163)-SUMIFS(D$93:D163,E$93:E163,"=I",R$93:R163,"=1")-SUMIFS(D$93:D163,E$93:E163,"=P",R$93:R163,"=1")-SUMIFS(D$93:D163,E$93:E163,"=R",R$93:R163,"=1")-SUMIFS(D$93:D163,E$93:E163,"=S",R$93:R163,"=1")-SUMIFS(D$93:D163,E$93:E163,"=W",R$93:R163,"=1")-SUMIFS(D$93:D163,E$93:E163,"=Z",R$93:R163,"=1")-SUMIFS(D$93:D163,E$93:E163,"=RP",R$93:R163,"=1"))),2)),"",ROUND(IF(SUM(,R93:R163)=0,"",SUMPRODUCT(I93:I163,R93:R163)/(SUMPRODUCT(D93:D163,R93:R163)-SUMIFS(D$93:D163,E$93:E163,"=I",R$93:R163,"=1")-SUMIFS(D$93:D163,E$93:E163,"=P",R$93:R163,"=1")-SUMIFS(D$93:D163,E$93:E163,"=R",R$93:R163,"=1")-SUMIFS(D$93:D163,E$93:E163,"=S",R$93:R163,"=1")-SUMIFS(D$93:D163,E$93:E163,"=W",R$93:R163,"=1")-SUMIFS(D$93:D163,E$93:E163,"=Z",R$93:R163,"=1")-SUMIFS(D$93:D163,E$93:E163,"=RP",R$93:R163,"=1"))),2))</f>
        <v/>
      </c>
      <c r="E54" s="156"/>
      <c r="P54" s="79" t="str">
        <f>IF($Q$43="","",IF(INDEX($AH$2:$BB$12,11,MATCH($Q$43,$AH$1:$BB$1,0))="","",INDEX($AH$2:$BB$12,11,MATCH($Q$43,$AH$1:$BB$1,0))))</f>
        <v>LIST</v>
      </c>
      <c r="Q54" s="80" t="str">
        <f t="shared" si="52"/>
        <v/>
      </c>
      <c r="R54" s="81" t="str">
        <f t="shared" si="53"/>
        <v/>
      </c>
      <c r="T54" s="9" t="str">
        <f t="shared" si="54"/>
        <v/>
      </c>
      <c r="U54" s="9"/>
      <c r="V54" s="9"/>
      <c r="W54" s="9">
        <f t="shared" si="57"/>
        <v>3</v>
      </c>
      <c r="X54" t="s">
        <v>101</v>
      </c>
      <c r="Y54" t="s">
        <v>102</v>
      </c>
      <c r="AH54" s="90" t="s">
        <v>356</v>
      </c>
      <c r="AJ54" s="90" t="s">
        <v>404</v>
      </c>
    </row>
    <row r="55" spans="1:38" x14ac:dyDescent="0.15">
      <c r="T55" s="9"/>
      <c r="U55" s="9"/>
      <c r="V55" s="9"/>
      <c r="W55" s="9">
        <f t="shared" si="57"/>
        <v>4</v>
      </c>
      <c r="X55" t="s">
        <v>101</v>
      </c>
      <c r="Y55" t="s">
        <v>102</v>
      </c>
      <c r="AH55" s="90" t="s">
        <v>357</v>
      </c>
      <c r="AJ55" s="90" t="s">
        <v>405</v>
      </c>
    </row>
    <row r="56" spans="1:38" x14ac:dyDescent="0.15">
      <c r="A56" s="5"/>
      <c r="B56" s="22"/>
      <c r="C56" s="22"/>
      <c r="D56" s="159" t="str">
        <f>D1</f>
        <v>Department of Engineering Management and Systems Engineering</v>
      </c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22"/>
      <c r="R56" s="22"/>
      <c r="S56" s="22"/>
      <c r="T56" s="9"/>
      <c r="U56" s="9"/>
      <c r="V56" s="9"/>
      <c r="W56" s="9">
        <f t="shared" si="57"/>
        <v>5</v>
      </c>
      <c r="X56" t="s">
        <v>101</v>
      </c>
      <c r="Y56" t="s">
        <v>102</v>
      </c>
      <c r="AH56" s="90" t="s">
        <v>358</v>
      </c>
      <c r="AJ56" s="90" t="s">
        <v>406</v>
      </c>
    </row>
    <row r="57" spans="1:38" x14ac:dyDescent="0.15">
      <c r="A57" s="12"/>
      <c r="B57" s="14"/>
      <c r="C57" s="14"/>
      <c r="D57" s="146" t="str">
        <f>D2</f>
        <v>2022 - 2026</v>
      </c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24"/>
      <c r="R57" s="14"/>
      <c r="S57" s="14"/>
      <c r="T57" s="9"/>
      <c r="U57" s="9"/>
      <c r="V57" s="9"/>
      <c r="W57" s="9">
        <f t="shared" si="57"/>
        <v>6</v>
      </c>
      <c r="X57" t="s">
        <v>101</v>
      </c>
      <c r="Y57" t="s">
        <v>102</v>
      </c>
      <c r="AH57" s="90" t="s">
        <v>359</v>
      </c>
      <c r="AJ57" s="90" t="s">
        <v>407</v>
      </c>
    </row>
    <row r="58" spans="1:38" x14ac:dyDescent="0.15">
      <c r="A58" s="25"/>
      <c r="B58" s="21"/>
      <c r="C58" s="21"/>
      <c r="D58" s="147" t="str">
        <f>D3</f>
        <v>Systems Engineering Curriculum (B.S.)</v>
      </c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8" t="s">
        <v>22</v>
      </c>
      <c r="R58" s="149"/>
      <c r="S58" s="34">
        <f>S3</f>
        <v>129</v>
      </c>
      <c r="T58" s="9"/>
      <c r="U58" s="9"/>
      <c r="V58" s="9"/>
      <c r="W58" s="9">
        <f t="shared" si="57"/>
        <v>7</v>
      </c>
      <c r="X58" t="s">
        <v>101</v>
      </c>
      <c r="Y58" t="s">
        <v>102</v>
      </c>
      <c r="AH58" s="90" t="s">
        <v>360</v>
      </c>
      <c r="AJ58" s="90" t="s">
        <v>408</v>
      </c>
    </row>
    <row r="59" spans="1:38" x14ac:dyDescent="0.15">
      <c r="A59" s="27"/>
      <c r="B59" s="28"/>
      <c r="C59" s="28"/>
      <c r="D59" s="28"/>
      <c r="E59" s="28"/>
      <c r="F59" s="54"/>
      <c r="G59" s="54"/>
      <c r="H59" s="28"/>
      <c r="I59" s="28"/>
      <c r="J59" s="28"/>
      <c r="K59" s="28"/>
      <c r="L59" s="28"/>
      <c r="M59" s="54"/>
      <c r="N59" s="54"/>
      <c r="O59" s="28"/>
      <c r="P59" s="28"/>
      <c r="Q59" s="29"/>
      <c r="R59" s="3"/>
      <c r="S59" s="30"/>
      <c r="T59" s="9"/>
      <c r="U59" s="9"/>
      <c r="V59" s="9"/>
      <c r="W59" s="9">
        <f t="shared" si="57"/>
        <v>8</v>
      </c>
      <c r="X59" t="s">
        <v>101</v>
      </c>
      <c r="Y59" t="s">
        <v>102</v>
      </c>
      <c r="AH59" s="90" t="s">
        <v>361</v>
      </c>
      <c r="AJ59" s="90" t="s">
        <v>409</v>
      </c>
    </row>
    <row r="60" spans="1:38" x14ac:dyDescent="0.15">
      <c r="A60" s="16" t="s">
        <v>45</v>
      </c>
      <c r="B60" s="16"/>
      <c r="C60" s="157">
        <f>C5</f>
        <v>0</v>
      </c>
      <c r="D60" s="140"/>
      <c r="E60" s="140"/>
      <c r="F60" s="140"/>
      <c r="G60" s="140"/>
      <c r="H60" s="140"/>
      <c r="I60" s="140"/>
      <c r="J60" s="35"/>
      <c r="K60" s="31"/>
      <c r="L60" s="36"/>
      <c r="M60" s="70"/>
      <c r="N60" s="70"/>
      <c r="O60" s="17" t="s">
        <v>24</v>
      </c>
      <c r="P60" s="139">
        <f>P5</f>
        <v>0</v>
      </c>
      <c r="Q60" s="140"/>
      <c r="R60" s="140"/>
      <c r="S60" s="140"/>
      <c r="T60" s="9"/>
      <c r="U60" s="9"/>
      <c r="V60" s="9"/>
      <c r="W60" s="9">
        <f t="shared" si="57"/>
        <v>9</v>
      </c>
      <c r="X60" t="s">
        <v>101</v>
      </c>
      <c r="Y60" t="s">
        <v>102</v>
      </c>
      <c r="AH60" s="90" t="s">
        <v>303</v>
      </c>
      <c r="AJ60" s="90" t="s">
        <v>410</v>
      </c>
    </row>
    <row r="61" spans="1:38" x14ac:dyDescent="0.15">
      <c r="A61" s="32" t="s">
        <v>46</v>
      </c>
      <c r="B61" s="32"/>
      <c r="C61" s="138" t="str">
        <f>C6</f>
        <v>Joost Santos</v>
      </c>
      <c r="D61" s="149"/>
      <c r="E61" s="149"/>
      <c r="F61" s="149"/>
      <c r="G61" s="149"/>
      <c r="H61" s="149"/>
      <c r="I61" s="149"/>
      <c r="J61" s="37"/>
      <c r="K61" s="33"/>
      <c r="L61" s="37"/>
      <c r="M61" s="71"/>
      <c r="N61" s="71"/>
      <c r="O61" s="38" t="s">
        <v>26</v>
      </c>
      <c r="P61" s="151" t="str">
        <f>P6</f>
        <v>FA 22</v>
      </c>
      <c r="Q61" s="152"/>
      <c r="R61" s="152"/>
      <c r="S61" s="152"/>
      <c r="T61" s="9"/>
      <c r="U61" s="9"/>
      <c r="V61" s="9"/>
      <c r="W61" s="9">
        <f t="shared" si="57"/>
        <v>10</v>
      </c>
      <c r="X61" t="s">
        <v>101</v>
      </c>
      <c r="Y61" t="s">
        <v>102</v>
      </c>
      <c r="AH61" s="90" t="s">
        <v>362</v>
      </c>
      <c r="AJ61" s="90" t="s">
        <v>411</v>
      </c>
    </row>
    <row r="62" spans="1:38" x14ac:dyDescent="0.15">
      <c r="A62" s="39"/>
      <c r="B62" s="39"/>
      <c r="C62" s="39"/>
      <c r="D62" s="39"/>
      <c r="E62" s="39"/>
      <c r="F62" s="61"/>
      <c r="G62" s="61"/>
      <c r="H62" s="39"/>
      <c r="I62" s="39"/>
      <c r="J62" s="39"/>
      <c r="K62" s="39"/>
      <c r="L62" s="39"/>
      <c r="M62" s="61"/>
      <c r="N62" s="61"/>
      <c r="O62" s="39"/>
      <c r="P62" s="39"/>
      <c r="Q62" s="39"/>
      <c r="R62" s="39"/>
      <c r="T62" s="9"/>
      <c r="U62" s="9"/>
      <c r="V62" s="9"/>
      <c r="W62" s="9">
        <f t="shared" si="57"/>
        <v>11</v>
      </c>
      <c r="X62" t="s">
        <v>101</v>
      </c>
      <c r="Y62" t="s">
        <v>102</v>
      </c>
      <c r="AH62" s="90" t="s">
        <v>363</v>
      </c>
      <c r="AJ62" s="90" t="s">
        <v>412</v>
      </c>
    </row>
    <row r="63" spans="1:38" x14ac:dyDescent="0.15">
      <c r="A63" s="11"/>
      <c r="B63" s="11"/>
      <c r="C63" s="11"/>
      <c r="D63" s="40"/>
      <c r="E63" s="40"/>
      <c r="F63" s="62"/>
      <c r="G63" s="62"/>
      <c r="H63" s="40"/>
      <c r="I63" s="40"/>
      <c r="J63" s="40"/>
      <c r="K63" s="41"/>
      <c r="L63" s="41"/>
      <c r="M63" s="58"/>
      <c r="N63" s="72"/>
      <c r="O63" s="42"/>
      <c r="P63" s="42"/>
      <c r="Q63" s="42"/>
      <c r="R63" s="11"/>
      <c r="T63" s="9"/>
      <c r="U63" s="9"/>
      <c r="V63" s="9"/>
      <c r="W63" s="9">
        <f t="shared" si="57"/>
        <v>12</v>
      </c>
      <c r="X63" t="s">
        <v>103</v>
      </c>
      <c r="Y63" t="s">
        <v>104</v>
      </c>
      <c r="AH63" s="90" t="s">
        <v>364</v>
      </c>
      <c r="AJ63" s="90" t="s">
        <v>413</v>
      </c>
    </row>
    <row r="64" spans="1:38" x14ac:dyDescent="0.15">
      <c r="A64" s="11"/>
      <c r="B64" s="3"/>
      <c r="C64" s="3"/>
      <c r="D64" s="3"/>
      <c r="E64" s="3"/>
      <c r="F64" s="63"/>
      <c r="G64" s="63"/>
      <c r="H64" s="3"/>
      <c r="I64" s="3"/>
      <c r="J64" s="3"/>
      <c r="K64" s="3"/>
      <c r="L64" s="3"/>
      <c r="M64" s="63"/>
      <c r="N64" s="63"/>
      <c r="O64" s="3"/>
      <c r="P64" s="3"/>
      <c r="Q64" s="3"/>
      <c r="R64" s="3"/>
      <c r="T64" s="9"/>
      <c r="U64" s="9"/>
      <c r="V64" s="9"/>
      <c r="W64" s="9">
        <f t="shared" si="57"/>
        <v>13</v>
      </c>
      <c r="X64" t="s">
        <v>103</v>
      </c>
      <c r="Y64" t="s">
        <v>104</v>
      </c>
      <c r="AH64" s="90" t="s">
        <v>365</v>
      </c>
      <c r="AJ64" s="90" t="s">
        <v>414</v>
      </c>
    </row>
    <row r="65" spans="1:36" x14ac:dyDescent="0.15">
      <c r="A65" s="15"/>
      <c r="B65" s="15"/>
      <c r="C65" s="15"/>
      <c r="D65" s="15"/>
      <c r="E65" s="15"/>
      <c r="F65" s="56"/>
      <c r="G65" s="56"/>
      <c r="H65" s="15"/>
      <c r="I65" s="15"/>
      <c r="J65" s="15"/>
      <c r="K65" s="15"/>
      <c r="L65" s="15"/>
      <c r="M65" s="56"/>
      <c r="N65" s="56"/>
      <c r="O65" s="15"/>
      <c r="P65" s="15"/>
      <c r="Q65" s="15"/>
      <c r="R65" s="15"/>
      <c r="T65" s="9"/>
      <c r="U65" s="9"/>
      <c r="V65" s="9"/>
      <c r="W65" s="9">
        <f t="shared" si="57"/>
        <v>14</v>
      </c>
      <c r="X65" t="s">
        <v>103</v>
      </c>
      <c r="Y65" t="s">
        <v>104</v>
      </c>
      <c r="AH65" s="90" t="s">
        <v>366</v>
      </c>
      <c r="AJ65" s="90" t="s">
        <v>415</v>
      </c>
    </row>
    <row r="66" spans="1:36" x14ac:dyDescent="0.15">
      <c r="A66" s="12"/>
      <c r="B66" s="43" t="s">
        <v>47</v>
      </c>
      <c r="C66" s="20" t="s">
        <v>48</v>
      </c>
      <c r="D66" s="141" t="s">
        <v>49</v>
      </c>
      <c r="E66" s="142"/>
      <c r="F66" s="64"/>
      <c r="G66" s="141" t="s">
        <v>50</v>
      </c>
      <c r="H66" s="143"/>
      <c r="I66" s="144"/>
      <c r="J66" s="141" t="s">
        <v>51</v>
      </c>
      <c r="K66" s="142"/>
      <c r="L66" s="141" t="s">
        <v>52</v>
      </c>
      <c r="M66" s="145"/>
      <c r="N66" s="145"/>
      <c r="O66" s="145"/>
      <c r="P66" s="145"/>
      <c r="Q66" s="44"/>
      <c r="R66" s="12"/>
      <c r="T66" s="9"/>
      <c r="U66" s="9"/>
      <c r="V66" s="9"/>
      <c r="W66" s="9">
        <f t="shared" si="57"/>
        <v>15</v>
      </c>
      <c r="X66" t="s">
        <v>103</v>
      </c>
      <c r="Y66" t="s">
        <v>104</v>
      </c>
      <c r="AH66" s="90" t="s">
        <v>367</v>
      </c>
      <c r="AJ66" s="90" t="s">
        <v>416</v>
      </c>
    </row>
    <row r="67" spans="1:36" x14ac:dyDescent="0.15">
      <c r="A67" s="12"/>
      <c r="B67" s="8" t="str">
        <f>IF(D99=0,"",D99)</f>
        <v/>
      </c>
      <c r="C67" s="19" t="s">
        <v>54</v>
      </c>
      <c r="D67" s="130">
        <f>C8</f>
        <v>2022</v>
      </c>
      <c r="E67" s="131"/>
      <c r="F67" s="65"/>
      <c r="G67" s="132" t="str">
        <f>IF(D99=0,"",J99)</f>
        <v/>
      </c>
      <c r="H67" s="133"/>
      <c r="I67" s="134"/>
      <c r="J67" s="135"/>
      <c r="K67" s="136"/>
      <c r="L67" s="137" t="str">
        <f>IF(B67="","",IF(OR(J99&lt;2,L99&lt;2),"Probation",IF(AND(D99&gt;=12,J99&gt;=3.75,COUNTIF(E93:E98,"=I")=0,COUNTIF(E93:E98,"=Z")=0),"Dean's List","Good Standing")))</f>
        <v/>
      </c>
      <c r="M67" s="138"/>
      <c r="N67" s="138"/>
      <c r="O67" s="138"/>
      <c r="P67" s="138"/>
      <c r="Q67" s="93" t="str">
        <f>IF(G67="","",IF(OR(J99&lt;2,L99&lt;2),1,0))</f>
        <v/>
      </c>
      <c r="R67" s="12"/>
      <c r="T67" s="9"/>
      <c r="U67" s="9"/>
      <c r="V67" s="9"/>
      <c r="W67" s="9">
        <f t="shared" si="57"/>
        <v>16</v>
      </c>
      <c r="X67" t="s">
        <v>103</v>
      </c>
      <c r="Y67" t="s">
        <v>104</v>
      </c>
      <c r="AH67" s="90" t="s">
        <v>368</v>
      </c>
      <c r="AJ67" s="90" t="s">
        <v>417</v>
      </c>
    </row>
    <row r="68" spans="1:36" x14ac:dyDescent="0.15">
      <c r="A68" s="12"/>
      <c r="B68" s="8" t="str">
        <f>IF(D106=0,"",D106)</f>
        <v/>
      </c>
      <c r="C68" s="19" t="s">
        <v>55</v>
      </c>
      <c r="D68" s="130">
        <f>D67+1</f>
        <v>2023</v>
      </c>
      <c r="E68" s="131"/>
      <c r="F68" s="65"/>
      <c r="G68" s="132" t="str">
        <f>IF(D106=0,"",J106)</f>
        <v/>
      </c>
      <c r="H68" s="133"/>
      <c r="I68" s="134"/>
      <c r="J68" s="135"/>
      <c r="K68" s="136"/>
      <c r="L68" s="137" t="str">
        <f>IF(B68="","",IF(AND(SUM(B$67:B68)&gt;=24,OR(G68&lt;1,AND(MIN(J99,L99)&lt;2,MIN(J106,L106)&lt;2))),"Suspension",IF(OR(J106&lt;2,L106&lt;2),"Probation",IF(AND(D106&gt;=12,J106&gt;=3.75,COUNTIF(E100:E105,"=I")=0,COUNTIF(E100:E105,"=Z")=0),"Dean's List","Good Standing"))))</f>
        <v/>
      </c>
      <c r="M68" s="138"/>
      <c r="N68" s="138"/>
      <c r="O68" s="138"/>
      <c r="P68" s="138"/>
      <c r="Q68" s="93" t="str">
        <f>IF(G68="","",IF(OR(J106&lt;2,L106&lt;2),1,0))</f>
        <v/>
      </c>
      <c r="R68" s="12"/>
      <c r="W68">
        <f t="shared" si="57"/>
        <v>17</v>
      </c>
      <c r="X68" t="s">
        <v>103</v>
      </c>
      <c r="Y68" t="s">
        <v>104</v>
      </c>
      <c r="AH68" s="90" t="s">
        <v>369</v>
      </c>
      <c r="AJ68" s="90" t="s">
        <v>418</v>
      </c>
    </row>
    <row r="69" spans="1:36" x14ac:dyDescent="0.15">
      <c r="A69" s="12"/>
      <c r="B69" s="8" t="str">
        <f>IF(D110=0,"",D110)</f>
        <v/>
      </c>
      <c r="C69" s="19" t="s">
        <v>56</v>
      </c>
      <c r="D69" s="130">
        <f>D68</f>
        <v>2023</v>
      </c>
      <c r="E69" s="131"/>
      <c r="F69" s="65"/>
      <c r="G69" s="132" t="str">
        <f>IF(D110=0,"",J110)</f>
        <v/>
      </c>
      <c r="H69" s="133"/>
      <c r="I69" s="134"/>
      <c r="J69" s="135"/>
      <c r="K69" s="136"/>
      <c r="L69" s="137"/>
      <c r="M69" s="138"/>
      <c r="N69" s="138"/>
      <c r="O69" s="138"/>
      <c r="P69" s="138"/>
      <c r="Q69" s="93"/>
      <c r="R69" s="12"/>
      <c r="W69">
        <f t="shared" si="57"/>
        <v>18</v>
      </c>
      <c r="X69" t="s">
        <v>103</v>
      </c>
      <c r="Y69" t="s">
        <v>104</v>
      </c>
      <c r="AH69" s="90" t="s">
        <v>370</v>
      </c>
      <c r="AJ69" s="90" t="s">
        <v>419</v>
      </c>
    </row>
    <row r="70" spans="1:36" x14ac:dyDescent="0.15">
      <c r="A70" s="12"/>
      <c r="B70" s="8" t="str">
        <f>IF(D117=0,"",D117)</f>
        <v/>
      </c>
      <c r="C70" s="19" t="s">
        <v>54</v>
      </c>
      <c r="D70" s="130">
        <f>D69</f>
        <v>2023</v>
      </c>
      <c r="E70" s="131"/>
      <c r="F70" s="65"/>
      <c r="G70" s="132" t="str">
        <f>IF(D117=0,"",J117)</f>
        <v/>
      </c>
      <c r="H70" s="133"/>
      <c r="I70" s="134"/>
      <c r="J70" s="135"/>
      <c r="K70" s="136"/>
      <c r="L70" s="137" t="str">
        <f>IF(B70="","",IF(AND(SUM(B$67:B70)&gt;=24,OR(G70&lt;1,AND(MIN(J106,L106)&lt;2,MIN(J117,L117)&lt;2),SUM(Q$67:Q70)&gt;=3)),"Suspension",IF(OR(J117&lt;2,L117&lt;2),"Probation",IF(AND(D117&gt;=12,J117&gt;=3.75,COUNTIF(E111:E116,"=I")=0,COUNTIF(E111:E116,"=Z")=0),"Dean's List","Good Standing"))))</f>
        <v/>
      </c>
      <c r="M70" s="138"/>
      <c r="N70" s="138"/>
      <c r="O70" s="138"/>
      <c r="P70" s="138"/>
      <c r="Q70" s="93" t="str">
        <f>IF(G70="","",IF(OR(J117&lt;2,L117&lt;2),1,0))</f>
        <v/>
      </c>
      <c r="R70" s="12"/>
      <c r="W70">
        <f t="shared" si="57"/>
        <v>19</v>
      </c>
      <c r="X70" t="s">
        <v>103</v>
      </c>
      <c r="Y70" t="s">
        <v>104</v>
      </c>
      <c r="AH70" s="90" t="s">
        <v>371</v>
      </c>
      <c r="AJ70" s="90" t="s">
        <v>420</v>
      </c>
    </row>
    <row r="71" spans="1:36" x14ac:dyDescent="0.15">
      <c r="A71" s="12"/>
      <c r="B71" s="8" t="str">
        <f>IF(D124=0,"",D124)</f>
        <v/>
      </c>
      <c r="C71" s="19" t="s">
        <v>55</v>
      </c>
      <c r="D71" s="130">
        <f>D70+1</f>
        <v>2024</v>
      </c>
      <c r="E71" s="131"/>
      <c r="F71" s="65"/>
      <c r="G71" s="132" t="str">
        <f>IF(D124=0,"",J124)</f>
        <v/>
      </c>
      <c r="H71" s="133"/>
      <c r="I71" s="134"/>
      <c r="J71" s="135"/>
      <c r="K71" s="136"/>
      <c r="L71" s="137" t="str">
        <f>IF(B71="","",IF(AND(SUM(B$67:B71)&gt;=24,OR(G71&lt;1,AND(MIN(J117,L117)&lt;2,MIN(J124,L124)&lt;2),SUM(Q$67:Q71)&gt;=3)),"Suspension",IF(OR(J124&lt;2,L124&lt;2),"Probation",IF(AND(D124&gt;=12,J124&gt;=3.75,COUNTIF(E118:E123,"=I")=0,COUNTIF(E118:E123,"=Z")=0),"Dean's List","Good Standing"))))</f>
        <v/>
      </c>
      <c r="M71" s="138"/>
      <c r="N71" s="138"/>
      <c r="O71" s="138"/>
      <c r="P71" s="138"/>
      <c r="Q71" s="93" t="str">
        <f>IF(G71="","",IF(OR(J124&lt;2,L124&lt;2),1,0))</f>
        <v/>
      </c>
      <c r="R71" s="12"/>
      <c r="W71">
        <f t="shared" si="57"/>
        <v>20</v>
      </c>
      <c r="X71" t="s">
        <v>103</v>
      </c>
      <c r="Y71" t="s">
        <v>104</v>
      </c>
      <c r="AH71" s="90" t="s">
        <v>372</v>
      </c>
      <c r="AJ71" s="90" t="s">
        <v>421</v>
      </c>
    </row>
    <row r="72" spans="1:36" x14ac:dyDescent="0.15">
      <c r="A72" s="12"/>
      <c r="B72" s="8" t="str">
        <f>IF(D128=0,"",D128)</f>
        <v/>
      </c>
      <c r="C72" s="19" t="s">
        <v>56</v>
      </c>
      <c r="D72" s="130">
        <f>D71</f>
        <v>2024</v>
      </c>
      <c r="E72" s="131"/>
      <c r="F72" s="65"/>
      <c r="G72" s="132" t="str">
        <f>IF(D128=0,"",J128)</f>
        <v/>
      </c>
      <c r="H72" s="133"/>
      <c r="I72" s="134"/>
      <c r="J72" s="135"/>
      <c r="K72" s="136"/>
      <c r="L72" s="137"/>
      <c r="M72" s="138"/>
      <c r="N72" s="138"/>
      <c r="O72" s="138"/>
      <c r="P72" s="138"/>
      <c r="Q72" s="93"/>
      <c r="R72" s="12"/>
      <c r="W72">
        <f t="shared" si="57"/>
        <v>21</v>
      </c>
      <c r="X72" t="s">
        <v>103</v>
      </c>
      <c r="Y72" t="s">
        <v>104</v>
      </c>
      <c r="AH72" s="90" t="s">
        <v>373</v>
      </c>
      <c r="AJ72" s="90" t="s">
        <v>422</v>
      </c>
    </row>
    <row r="73" spans="1:36" x14ac:dyDescent="0.15">
      <c r="A73" s="12"/>
      <c r="B73" s="8" t="str">
        <f>IF(D135=0,"",D135)</f>
        <v/>
      </c>
      <c r="C73" s="19" t="s">
        <v>54</v>
      </c>
      <c r="D73" s="130">
        <f>D72</f>
        <v>2024</v>
      </c>
      <c r="E73" s="131"/>
      <c r="F73" s="65"/>
      <c r="G73" s="132" t="str">
        <f>IF(D135=0,"",J135)</f>
        <v/>
      </c>
      <c r="H73" s="133"/>
      <c r="I73" s="134"/>
      <c r="J73" s="135"/>
      <c r="K73" s="136"/>
      <c r="L73" s="137" t="str">
        <f>IF(B73="","",IF(AND(SUM(B$67:B73)&gt;=24,OR(G73&lt;1,AND(MIN(J124,L124)&lt;2,MIN(J135,L135)&lt;2),SUM(Q$67:Q73)&gt;=3)),"Suspension",IF(OR(J135&lt;2,L135&lt;2),"Probation",IF(AND(D135&gt;=12,J135&gt;=3.75,COUNTIF(E129:E134,"=I")=0,COUNTIF(E129:E134,"=Z")=0),"Dean's List","Good Standing"))))</f>
        <v/>
      </c>
      <c r="M73" s="138"/>
      <c r="N73" s="138"/>
      <c r="O73" s="138"/>
      <c r="P73" s="138"/>
      <c r="Q73" s="93" t="str">
        <f>IF(G73="","",IF(OR(J135&lt;2,L135&lt;2),1,0))</f>
        <v/>
      </c>
      <c r="R73" s="12"/>
      <c r="W73">
        <f t="shared" si="57"/>
        <v>22</v>
      </c>
      <c r="X73" t="s">
        <v>103</v>
      </c>
      <c r="Y73" t="s">
        <v>104</v>
      </c>
      <c r="AH73" s="90" t="s">
        <v>321</v>
      </c>
      <c r="AJ73" s="90" t="s">
        <v>423</v>
      </c>
    </row>
    <row r="74" spans="1:36" x14ac:dyDescent="0.15">
      <c r="A74" s="12"/>
      <c r="B74" s="8" t="str">
        <f>IF(D142=0,"",D142)</f>
        <v/>
      </c>
      <c r="C74" s="19" t="s">
        <v>55</v>
      </c>
      <c r="D74" s="130">
        <f>D73+1</f>
        <v>2025</v>
      </c>
      <c r="E74" s="131"/>
      <c r="F74" s="65"/>
      <c r="G74" s="132" t="str">
        <f>IF(D142=0,"",J142)</f>
        <v/>
      </c>
      <c r="H74" s="133"/>
      <c r="I74" s="134"/>
      <c r="J74" s="135"/>
      <c r="K74" s="136"/>
      <c r="L74" s="137" t="str">
        <f>IF(B74="","",IF(AND(SUM(B$67:B74)&gt;=24,OR(G74&lt;1,AND(MIN(J135,L135)&lt;2,MIN(J142,L142)&lt;2),SUM(Q$67:Q74)&gt;=3)),"Suspension",IF(OR(J142&lt;2,L142&lt;2),"Probation",IF(AND(D142&gt;=12,J142&gt;=3.75,COUNTIF(E136:E141,"=I")=0,COUNTIF(E136:E141,"=Z")=0),"Dean's List","Good Standing"))))</f>
        <v/>
      </c>
      <c r="M74" s="138"/>
      <c r="N74" s="138"/>
      <c r="O74" s="138"/>
      <c r="P74" s="138"/>
      <c r="Q74" s="93" t="str">
        <f>IF(G74="","",IF(OR(J142&lt;2,L142&lt;2),1,0))</f>
        <v/>
      </c>
      <c r="R74" s="12"/>
      <c r="W74">
        <f t="shared" si="57"/>
        <v>23</v>
      </c>
      <c r="X74" t="s">
        <v>105</v>
      </c>
      <c r="Y74" t="s">
        <v>106</v>
      </c>
      <c r="AH74" s="90" t="s">
        <v>374</v>
      </c>
      <c r="AJ74" s="90" t="s">
        <v>424</v>
      </c>
    </row>
    <row r="75" spans="1:36" x14ac:dyDescent="0.15">
      <c r="A75" s="12"/>
      <c r="B75" s="8" t="str">
        <f>IF(D146=0,"",D146)</f>
        <v/>
      </c>
      <c r="C75" s="19" t="s">
        <v>56</v>
      </c>
      <c r="D75" s="130">
        <f>D74</f>
        <v>2025</v>
      </c>
      <c r="E75" s="131"/>
      <c r="F75" s="65"/>
      <c r="G75" s="132" t="str">
        <f>IF(D146=0,"",J146)</f>
        <v/>
      </c>
      <c r="H75" s="133"/>
      <c r="I75" s="134"/>
      <c r="J75" s="135"/>
      <c r="K75" s="136"/>
      <c r="L75" s="137"/>
      <c r="M75" s="138"/>
      <c r="N75" s="138"/>
      <c r="O75" s="138"/>
      <c r="P75" s="138"/>
      <c r="Q75" s="93"/>
      <c r="R75" s="12"/>
      <c r="W75">
        <f t="shared" si="57"/>
        <v>24</v>
      </c>
      <c r="X75" t="s">
        <v>105</v>
      </c>
      <c r="Y75" t="s">
        <v>106</v>
      </c>
      <c r="AH75" s="90" t="s">
        <v>375</v>
      </c>
      <c r="AJ75" s="90" t="s">
        <v>425</v>
      </c>
    </row>
    <row r="76" spans="1:36" x14ac:dyDescent="0.15">
      <c r="A76" s="12"/>
      <c r="B76" s="8" t="str">
        <f>IF(D153=0,"",D153)</f>
        <v/>
      </c>
      <c r="C76" s="19" t="s">
        <v>54</v>
      </c>
      <c r="D76" s="130">
        <f>D75</f>
        <v>2025</v>
      </c>
      <c r="E76" s="131"/>
      <c r="F76" s="65"/>
      <c r="G76" s="132" t="str">
        <f>IF(D153=0,"",J153)</f>
        <v/>
      </c>
      <c r="H76" s="133"/>
      <c r="I76" s="134"/>
      <c r="J76" s="135"/>
      <c r="K76" s="136"/>
      <c r="L76" s="137" t="str">
        <f>IF(B76="","",IF(AND(SUM(B$67:B76)&gt;=24,OR(G76&lt;1,AND(MIN(J142,L142)&lt;2,MIN(J153,L153)&lt;2),SUM(Q$67:Q76)&gt;=3)),"Suspension",IF(OR(J153&lt;2,L153&lt;2),"Probation",IF(AND(D153&gt;=12,J153&gt;=3.75,COUNTIF(E147:E152,"=I")=0,COUNTIF(E147:E152,"=Z")=0),"Dean's List","Good Standing"))))</f>
        <v/>
      </c>
      <c r="M76" s="138"/>
      <c r="N76" s="138"/>
      <c r="O76" s="138"/>
      <c r="P76" s="138"/>
      <c r="Q76" s="93" t="str">
        <f>IF(G76="","",IF(OR(J153&lt;2,L153&lt;2),1,0))</f>
        <v/>
      </c>
      <c r="R76" s="12"/>
      <c r="W76">
        <f t="shared" si="57"/>
        <v>25</v>
      </c>
      <c r="X76" t="s">
        <v>105</v>
      </c>
      <c r="Y76" t="s">
        <v>106</v>
      </c>
      <c r="AH76" s="90" t="s">
        <v>376</v>
      </c>
      <c r="AJ76" s="90" t="s">
        <v>426</v>
      </c>
    </row>
    <row r="77" spans="1:36" x14ac:dyDescent="0.15">
      <c r="A77" s="12"/>
      <c r="B77" s="8" t="str">
        <f>IF(D160=0,"",D160)</f>
        <v/>
      </c>
      <c r="C77" s="19" t="s">
        <v>55</v>
      </c>
      <c r="D77" s="130">
        <f>D76+1</f>
        <v>2026</v>
      </c>
      <c r="E77" s="131"/>
      <c r="F77" s="65"/>
      <c r="G77" s="132" t="str">
        <f>IF(D160=0,"",J160)</f>
        <v/>
      </c>
      <c r="H77" s="133"/>
      <c r="I77" s="134"/>
      <c r="J77" s="135"/>
      <c r="K77" s="136"/>
      <c r="L77" s="137" t="str">
        <f>IF(B77="","",IF(AND(SUM(B$67:B77)&gt;=24,OR(G77&lt;1,AND(MIN(J153,L153)&lt;2,MIN(J160,L160)&lt;2),SUM(Q$67:Q77)&gt;=3)),"Suspension",IF(OR(J160&lt;2,L160&lt;2),"Probation",IF(AND(D160&gt;=12,J160&gt;=3.75,COUNTIF(E154:E159,"=I")=0,COUNTIF(E154:E159,"=Z")=0),"Dean's List","Good Standing"))))</f>
        <v/>
      </c>
      <c r="M77" s="138"/>
      <c r="N77" s="138"/>
      <c r="O77" s="138"/>
      <c r="P77" s="138"/>
      <c r="Q77" s="93" t="str">
        <f>IF(G77="","",IF(OR(J160&lt;2,L160&lt;2),1,0))</f>
        <v/>
      </c>
      <c r="R77" s="12"/>
      <c r="W77">
        <f t="shared" si="57"/>
        <v>26</v>
      </c>
      <c r="X77" t="s">
        <v>105</v>
      </c>
      <c r="Y77" t="s">
        <v>106</v>
      </c>
      <c r="AH77" s="90" t="s">
        <v>377</v>
      </c>
      <c r="AJ77" s="90" t="s">
        <v>427</v>
      </c>
    </row>
    <row r="78" spans="1:36" x14ac:dyDescent="0.15">
      <c r="A78" s="12"/>
      <c r="B78" s="8"/>
      <c r="C78" s="19"/>
      <c r="D78" s="130"/>
      <c r="E78" s="131"/>
      <c r="F78" s="65"/>
      <c r="G78" s="132"/>
      <c r="H78" s="133"/>
      <c r="I78" s="134"/>
      <c r="J78" s="135"/>
      <c r="K78" s="136"/>
      <c r="L78" s="137"/>
      <c r="M78" s="138"/>
      <c r="N78" s="138"/>
      <c r="O78" s="138"/>
      <c r="P78" s="138"/>
      <c r="Q78" s="93"/>
      <c r="R78" s="12"/>
      <c r="W78">
        <f t="shared" si="57"/>
        <v>27</v>
      </c>
      <c r="X78" t="s">
        <v>105</v>
      </c>
      <c r="Y78" t="s">
        <v>106</v>
      </c>
      <c r="AH78" s="90" t="s">
        <v>378</v>
      </c>
      <c r="AJ78" s="90" t="s">
        <v>428</v>
      </c>
    </row>
    <row r="79" spans="1:36" x14ac:dyDescent="0.15">
      <c r="A79" s="12"/>
      <c r="B79" s="8"/>
      <c r="C79" s="19"/>
      <c r="D79" s="130"/>
      <c r="E79" s="131"/>
      <c r="F79" s="65"/>
      <c r="G79" s="132"/>
      <c r="H79" s="133"/>
      <c r="I79" s="134"/>
      <c r="J79" s="135"/>
      <c r="K79" s="136"/>
      <c r="L79" s="137"/>
      <c r="M79" s="138"/>
      <c r="N79" s="138"/>
      <c r="O79" s="138"/>
      <c r="P79" s="138"/>
      <c r="Q79" s="93"/>
      <c r="R79" s="12"/>
      <c r="W79">
        <f t="shared" si="57"/>
        <v>28</v>
      </c>
      <c r="X79" t="s">
        <v>105</v>
      </c>
      <c r="Y79" t="s">
        <v>106</v>
      </c>
      <c r="AH79" s="90" t="s">
        <v>379</v>
      </c>
      <c r="AJ79" s="90" t="s">
        <v>429</v>
      </c>
    </row>
    <row r="80" spans="1:36" x14ac:dyDescent="0.15">
      <c r="A80" s="12"/>
      <c r="B80" s="8"/>
      <c r="C80" s="19"/>
      <c r="D80" s="130"/>
      <c r="E80" s="131"/>
      <c r="F80" s="65"/>
      <c r="G80" s="132"/>
      <c r="H80" s="133"/>
      <c r="I80" s="134"/>
      <c r="J80" s="135"/>
      <c r="K80" s="136"/>
      <c r="L80" s="137"/>
      <c r="M80" s="138"/>
      <c r="N80" s="138"/>
      <c r="O80" s="138"/>
      <c r="P80" s="138"/>
      <c r="Q80" s="93"/>
      <c r="R80" s="12"/>
      <c r="W80">
        <f t="shared" si="57"/>
        <v>29</v>
      </c>
      <c r="X80" t="s">
        <v>105</v>
      </c>
      <c r="Y80" t="s">
        <v>106</v>
      </c>
      <c r="AH80" s="90" t="s">
        <v>380</v>
      </c>
      <c r="AJ80" s="90" t="s">
        <v>430</v>
      </c>
    </row>
    <row r="81" spans="1:36" x14ac:dyDescent="0.15">
      <c r="A81" s="12"/>
      <c r="B81" s="8"/>
      <c r="C81" s="19"/>
      <c r="D81" s="130"/>
      <c r="E81" s="131"/>
      <c r="F81" s="65"/>
      <c r="G81" s="132"/>
      <c r="H81" s="133"/>
      <c r="I81" s="134"/>
      <c r="J81" s="135"/>
      <c r="K81" s="136"/>
      <c r="L81" s="137"/>
      <c r="M81" s="138"/>
      <c r="N81" s="138"/>
      <c r="O81" s="138"/>
      <c r="P81" s="138"/>
      <c r="Q81" s="93"/>
      <c r="R81" s="12"/>
      <c r="W81">
        <f t="shared" si="57"/>
        <v>30</v>
      </c>
      <c r="X81" t="s">
        <v>105</v>
      </c>
      <c r="Y81" t="s">
        <v>106</v>
      </c>
      <c r="AH81" s="90" t="s">
        <v>329</v>
      </c>
      <c r="AJ81" s="90" t="s">
        <v>431</v>
      </c>
    </row>
    <row r="82" spans="1:36" x14ac:dyDescent="0.15">
      <c r="A82" s="12"/>
      <c r="B82" s="12"/>
      <c r="C82" s="12"/>
      <c r="D82" s="12"/>
      <c r="E82" s="12"/>
      <c r="F82" s="66"/>
      <c r="G82" s="66"/>
      <c r="H82" s="12"/>
      <c r="I82" s="12"/>
      <c r="J82" s="12"/>
      <c r="K82" s="12"/>
      <c r="L82" s="12"/>
      <c r="M82" s="66"/>
      <c r="N82" s="66"/>
      <c r="O82" s="12"/>
      <c r="P82" s="12"/>
      <c r="Q82" s="12"/>
      <c r="R82" s="12"/>
      <c r="W82">
        <f t="shared" si="57"/>
        <v>31</v>
      </c>
      <c r="X82" t="s">
        <v>105</v>
      </c>
      <c r="Y82" t="s">
        <v>106</v>
      </c>
      <c r="AH82" s="90" t="s">
        <v>381</v>
      </c>
      <c r="AJ82" s="90" t="s">
        <v>432</v>
      </c>
    </row>
    <row r="83" spans="1:36" ht="12.5" customHeight="1" x14ac:dyDescent="0.15">
      <c r="A83" s="46"/>
      <c r="B83" s="48" t="s">
        <v>85</v>
      </c>
      <c r="C83" s="48" t="s">
        <v>1</v>
      </c>
      <c r="D83" s="48" t="s">
        <v>61</v>
      </c>
      <c r="E83" s="48" t="s">
        <v>2</v>
      </c>
      <c r="F83" s="47"/>
      <c r="G83" s="47"/>
      <c r="H83" s="47"/>
      <c r="I83" s="48" t="s">
        <v>85</v>
      </c>
      <c r="J83" s="48" t="s">
        <v>1</v>
      </c>
      <c r="K83" s="48" t="s">
        <v>61</v>
      </c>
      <c r="L83" s="48" t="s">
        <v>2</v>
      </c>
      <c r="M83" s="47"/>
      <c r="N83" s="47"/>
      <c r="O83" s="47"/>
      <c r="P83" s="46"/>
      <c r="Q83" s="46"/>
      <c r="W83">
        <f t="shared" si="57"/>
        <v>32</v>
      </c>
      <c r="X83" t="s">
        <v>105</v>
      </c>
      <c r="Y83" t="s">
        <v>106</v>
      </c>
      <c r="AJ83" s="90" t="s">
        <v>433</v>
      </c>
    </row>
    <row r="84" spans="1:36" ht="12.5" customHeight="1" x14ac:dyDescent="0.15">
      <c r="A84" s="45"/>
      <c r="B84" s="73"/>
      <c r="C84" s="73"/>
      <c r="D84" s="73"/>
      <c r="E84" s="73"/>
      <c r="F84" s="47"/>
      <c r="G84" s="47"/>
      <c r="H84" s="47"/>
      <c r="J84" s="73"/>
      <c r="K84" s="73"/>
      <c r="L84" s="73"/>
      <c r="M84" s="47"/>
      <c r="N84" s="47"/>
      <c r="O84" s="47"/>
      <c r="P84" s="46"/>
      <c r="Q84" s="46"/>
      <c r="W84">
        <f t="shared" si="57"/>
        <v>33</v>
      </c>
      <c r="X84" t="s">
        <v>105</v>
      </c>
      <c r="Y84" t="s">
        <v>106</v>
      </c>
      <c r="AJ84" s="90" t="s">
        <v>434</v>
      </c>
    </row>
    <row r="85" spans="1:36" ht="12.5" customHeight="1" x14ac:dyDescent="0.15">
      <c r="A85" s="45"/>
      <c r="B85" s="73"/>
      <c r="C85" s="73"/>
      <c r="D85" s="73"/>
      <c r="E85" s="73"/>
      <c r="F85" s="47"/>
      <c r="G85" s="47"/>
      <c r="H85" s="47"/>
      <c r="I85" s="73"/>
      <c r="J85" s="73"/>
      <c r="K85" s="73"/>
      <c r="L85" s="73"/>
      <c r="M85" s="47"/>
      <c r="N85" s="47"/>
      <c r="O85" s="47"/>
      <c r="P85" s="46"/>
      <c r="Q85" s="46"/>
      <c r="W85">
        <f t="shared" si="57"/>
        <v>34</v>
      </c>
      <c r="X85" t="s">
        <v>107</v>
      </c>
      <c r="Y85" t="s">
        <v>108</v>
      </c>
      <c r="AJ85" s="90" t="s">
        <v>435</v>
      </c>
    </row>
    <row r="86" spans="1:36" ht="12.5" customHeight="1" x14ac:dyDescent="0.15">
      <c r="A86" s="45"/>
      <c r="B86" s="73"/>
      <c r="C86" s="73"/>
      <c r="D86" s="73"/>
      <c r="E86" s="73"/>
      <c r="F86" s="47"/>
      <c r="G86" s="47"/>
      <c r="H86" s="47"/>
      <c r="I86" s="73"/>
      <c r="J86" s="73"/>
      <c r="K86" s="73"/>
      <c r="L86" s="73"/>
      <c r="M86" s="47"/>
      <c r="N86" s="47"/>
      <c r="O86" s="47"/>
      <c r="P86" s="46"/>
      <c r="Q86" s="46"/>
      <c r="W86">
        <f t="shared" si="57"/>
        <v>35</v>
      </c>
      <c r="X86" t="s">
        <v>107</v>
      </c>
      <c r="Y86" t="s">
        <v>108</v>
      </c>
      <c r="AH86" s="90"/>
      <c r="AI86" s="90"/>
      <c r="AJ86" s="90" t="s">
        <v>436</v>
      </c>
    </row>
    <row r="87" spans="1:36" ht="12.5" customHeight="1" x14ac:dyDescent="0.15">
      <c r="A87" s="45"/>
      <c r="B87" s="73"/>
      <c r="C87" s="73"/>
      <c r="D87" s="73"/>
      <c r="E87" s="73"/>
      <c r="F87" s="47"/>
      <c r="G87" s="47"/>
      <c r="H87" s="47"/>
      <c r="I87" s="73"/>
      <c r="J87" s="73"/>
      <c r="K87" s="73"/>
      <c r="L87" s="73"/>
      <c r="M87" s="47"/>
      <c r="N87" s="47"/>
      <c r="O87" s="47"/>
      <c r="P87" s="46"/>
      <c r="Q87" s="46"/>
      <c r="W87">
        <f t="shared" si="57"/>
        <v>36</v>
      </c>
      <c r="X87" t="s">
        <v>107</v>
      </c>
      <c r="Y87" t="s">
        <v>108</v>
      </c>
      <c r="AH87" s="90"/>
      <c r="AI87" s="90"/>
      <c r="AJ87" s="90" t="s">
        <v>437</v>
      </c>
    </row>
    <row r="88" spans="1:36" ht="12.5" customHeight="1" x14ac:dyDescent="0.15">
      <c r="B88" s="73"/>
      <c r="C88" s="73"/>
      <c r="D88" s="73"/>
      <c r="E88" s="73"/>
      <c r="I88" s="73"/>
      <c r="J88" s="73"/>
      <c r="K88" s="73"/>
      <c r="L88" s="73"/>
      <c r="W88">
        <f t="shared" si="57"/>
        <v>37</v>
      </c>
      <c r="X88" t="s">
        <v>107</v>
      </c>
      <c r="Y88" t="s">
        <v>108</v>
      </c>
      <c r="AH88" s="90"/>
      <c r="AI88" s="90"/>
      <c r="AJ88" s="90" t="s">
        <v>438</v>
      </c>
    </row>
    <row r="89" spans="1:36" ht="12.5" customHeight="1" x14ac:dyDescent="0.15">
      <c r="B89" s="73"/>
      <c r="C89" s="73"/>
      <c r="D89" s="73"/>
      <c r="E89" s="73"/>
      <c r="I89" s="73"/>
      <c r="J89" s="73"/>
      <c r="K89" s="73"/>
      <c r="L89" s="73"/>
      <c r="W89">
        <f t="shared" si="57"/>
        <v>38</v>
      </c>
      <c r="X89" t="s">
        <v>107</v>
      </c>
      <c r="Y89" t="s">
        <v>108</v>
      </c>
      <c r="AH89" s="90"/>
      <c r="AI89" s="90"/>
      <c r="AJ89" s="90" t="s">
        <v>439</v>
      </c>
    </row>
    <row r="90" spans="1:36" ht="12.5" customHeight="1" x14ac:dyDescent="0.15">
      <c r="B90" s="73"/>
      <c r="C90" s="73"/>
      <c r="D90" s="73"/>
      <c r="E90" s="73"/>
      <c r="I90" s="73"/>
      <c r="J90" s="73"/>
      <c r="K90" s="73"/>
      <c r="L90" s="73"/>
      <c r="W90">
        <f t="shared" si="57"/>
        <v>39</v>
      </c>
      <c r="X90" t="s">
        <v>107</v>
      </c>
      <c r="Y90" t="s">
        <v>108</v>
      </c>
      <c r="AH90" s="90"/>
      <c r="AJ90" s="90" t="s">
        <v>440</v>
      </c>
    </row>
    <row r="91" spans="1:36" x14ac:dyDescent="0.15">
      <c r="B91" s="73"/>
      <c r="C91" s="73"/>
      <c r="D91" s="73"/>
      <c r="E91" s="73"/>
      <c r="I91" s="73"/>
      <c r="J91" s="73"/>
      <c r="K91" s="73"/>
      <c r="L91" s="73"/>
      <c r="W91">
        <f t="shared" si="57"/>
        <v>40</v>
      </c>
      <c r="X91" t="s">
        <v>107</v>
      </c>
      <c r="Y91" t="s">
        <v>108</v>
      </c>
      <c r="AH91" s="90"/>
      <c r="AJ91" s="90" t="s">
        <v>441</v>
      </c>
    </row>
    <row r="92" spans="1:36" x14ac:dyDescent="0.15">
      <c r="A92" s="9" t="s">
        <v>60</v>
      </c>
      <c r="B92" s="48" t="s">
        <v>0</v>
      </c>
      <c r="C92" s="48" t="s">
        <v>1</v>
      </c>
      <c r="D92" s="48" t="s">
        <v>61</v>
      </c>
      <c r="E92" s="48" t="s">
        <v>2</v>
      </c>
      <c r="F92" s="67"/>
      <c r="G92" s="67"/>
      <c r="H92" s="48"/>
      <c r="I92" s="48" t="s">
        <v>59</v>
      </c>
      <c r="J92" s="23" t="s">
        <v>62</v>
      </c>
      <c r="K92" s="48"/>
      <c r="L92" s="48" t="s">
        <v>18</v>
      </c>
      <c r="M92" s="67"/>
      <c r="P92" s="48" t="s">
        <v>19</v>
      </c>
      <c r="Q92" s="48" t="s">
        <v>53</v>
      </c>
      <c r="R92" s="91" t="s">
        <v>16</v>
      </c>
      <c r="S92" s="91" t="s">
        <v>63</v>
      </c>
      <c r="W92">
        <f t="shared" si="57"/>
        <v>41</v>
      </c>
      <c r="X92" t="s">
        <v>107</v>
      </c>
      <c r="Y92" t="s">
        <v>108</v>
      </c>
      <c r="AH92" s="90"/>
      <c r="AJ92" s="90" t="s">
        <v>442</v>
      </c>
    </row>
    <row r="93" spans="1:36" x14ac:dyDescent="0.15">
      <c r="A93" s="9">
        <v>1</v>
      </c>
      <c r="B93" s="89" t="str">
        <f>P6</f>
        <v>FA 22</v>
      </c>
      <c r="C93" s="73"/>
      <c r="D93" s="73"/>
      <c r="E93" s="73"/>
      <c r="I93" s="9">
        <f>IF(D93="",0,D93*VLOOKUP(E93,'New SE'!AE$2:AF$32,2,0))</f>
        <v>0</v>
      </c>
      <c r="J93" s="49"/>
      <c r="K93" s="49"/>
      <c r="L93" s="49"/>
      <c r="Q93" s="45" t="str">
        <f t="shared" ref="Q93:Q98" si="58">IF(AND(ISERROR(MATCH(A93,$V$11:$V$50,0)),ISERROR(MATCH(A93,$W$11:$W$50,0))),"",IF(AND(ISERROR(MATCH(A93,$V$11:$V$50,0)),1-ISERROR(MATCH(A93,$W$11:$W$50,0))),VLOOKUP(MATCH(A93,$W$11:$W$50,0),W$52:Y$101,3,0),VLOOKUP(MATCH(A93,$V$11:$V$50,0),W$52:Y$101,2,0)))</f>
        <v/>
      </c>
      <c r="R93" s="91" t="str">
        <f t="shared" ref="R93:R124" si="59">IF(OR(Q93="",E93=""),"",1)</f>
        <v/>
      </c>
      <c r="S93" s="108" t="str">
        <f>IF(AND(R93=1,OR(COUNTIF($B$33:$B$36,"="&amp;C93)+COUNTIF($I$33:$I$36,"="&amp;C93)+COUNTIF($B$44:$B$46,"="&amp;C93)+COUNTIF($I$44:$I$45,"="&amp;C93)=1,AND(COUNTIF($C$37:$C$37,"="&amp;C93)+COUNTIF($J$37:$J$37,"="&amp;C93)+COUNTIF($C$47:$C$48,"="&amp;C93)+COUNTIF($J$46:$J$48,"="&amp;C93)=1,OR(ISNUMBER(MATCH(LEFT(C93,4),$AL$34:$AL$49,0)),ISNUMBER(MATCH(LEFT(C93,3),$AL$34:$AL$49,0)),ISNUMBER(MATCH(LEFT(C93,2),$AL$34:$AL$49,0)))))),1,"")</f>
        <v/>
      </c>
      <c r="W93">
        <f t="shared" si="57"/>
        <v>42</v>
      </c>
      <c r="X93" t="s">
        <v>107</v>
      </c>
      <c r="Y93" t="s">
        <v>108</v>
      </c>
      <c r="AH93" s="90"/>
      <c r="AJ93" s="90" t="s">
        <v>443</v>
      </c>
    </row>
    <row r="94" spans="1:36" x14ac:dyDescent="0.15">
      <c r="A94" s="9">
        <f t="shared" ref="A94:A157" si="60">A93+1</f>
        <v>2</v>
      </c>
      <c r="B94" s="9" t="str">
        <f>B$93</f>
        <v>FA 22</v>
      </c>
      <c r="C94" s="73"/>
      <c r="D94" s="73"/>
      <c r="E94" s="73"/>
      <c r="I94" s="9">
        <f>IF(D94="",0,D94*VLOOKUP(E94,'New SE'!AE$2:AF$32,2,0))</f>
        <v>0</v>
      </c>
      <c r="J94" s="49"/>
      <c r="K94" s="49"/>
      <c r="L94" s="49"/>
      <c r="Q94" s="45" t="str">
        <f t="shared" si="58"/>
        <v/>
      </c>
      <c r="R94" s="91" t="str">
        <f t="shared" si="59"/>
        <v/>
      </c>
      <c r="S94" s="108" t="str">
        <f t="shared" ref="S94:S157" si="61">IF(AND(R94=1,OR(COUNTIF($B$33:$B$36,"="&amp;C94)+COUNTIF($I$33:$I$36,"="&amp;C94)+COUNTIF($B$44:$B$46,"="&amp;C94)+COUNTIF($I$44:$I$45,"="&amp;C94)=1,AND(COUNTIF($C$37:$C$37,"="&amp;C94)+COUNTIF($J$37:$J$37,"="&amp;C94)+COUNTIF($C$47:$C$48,"="&amp;C94)+COUNTIF($J$46:$J$48,"="&amp;C94)=1,OR(ISNUMBER(MATCH(LEFT(C94,4),$AL$34:$AL$49,0)),ISNUMBER(MATCH(LEFT(C94,3),$AL$34:$AL$49,0)),ISNUMBER(MATCH(LEFT(C94,2),$AL$34:$AL$49,0)))))),1,"")</f>
        <v/>
      </c>
      <c r="W94">
        <f t="shared" si="57"/>
        <v>43</v>
      </c>
      <c r="X94" t="s">
        <v>107</v>
      </c>
      <c r="Y94" t="s">
        <v>108</v>
      </c>
      <c r="AH94" s="90"/>
      <c r="AJ94" s="90" t="s">
        <v>444</v>
      </c>
    </row>
    <row r="95" spans="1:36" x14ac:dyDescent="0.15">
      <c r="A95" s="9">
        <f t="shared" si="60"/>
        <v>3</v>
      </c>
      <c r="B95" s="9" t="str">
        <f>B$93</f>
        <v>FA 22</v>
      </c>
      <c r="C95" s="73"/>
      <c r="D95" s="73"/>
      <c r="E95" s="73"/>
      <c r="I95" s="9">
        <f>IF(D95="",0,D95*VLOOKUP(E95,'New SE'!AE$2:AF$32,2,0))</f>
        <v>0</v>
      </c>
      <c r="J95" s="49"/>
      <c r="K95" s="49"/>
      <c r="L95" s="49"/>
      <c r="Q95" s="45" t="str">
        <f t="shared" si="58"/>
        <v/>
      </c>
      <c r="R95" s="91" t="str">
        <f t="shared" si="59"/>
        <v/>
      </c>
      <c r="S95" s="108" t="str">
        <f t="shared" si="61"/>
        <v/>
      </c>
      <c r="W95">
        <f t="shared" si="57"/>
        <v>44</v>
      </c>
      <c r="X95" t="s">
        <v>107</v>
      </c>
      <c r="Y95" t="s">
        <v>108</v>
      </c>
      <c r="AH95" s="90"/>
      <c r="AJ95" s="90" t="s">
        <v>445</v>
      </c>
    </row>
    <row r="96" spans="1:36" x14ac:dyDescent="0.15">
      <c r="A96" s="9">
        <f t="shared" si="60"/>
        <v>4</v>
      </c>
      <c r="B96" s="9" t="str">
        <f>B$93</f>
        <v>FA 22</v>
      </c>
      <c r="C96" s="73"/>
      <c r="D96" s="73"/>
      <c r="E96" s="73"/>
      <c r="I96" s="9">
        <f>IF(D96="",0,D96*VLOOKUP(E96,'New SE'!AE$2:AF$32,2,0))</f>
        <v>0</v>
      </c>
      <c r="J96" s="49"/>
      <c r="K96" s="49"/>
      <c r="L96" s="49"/>
      <c r="Q96" s="45" t="str">
        <f t="shared" si="58"/>
        <v/>
      </c>
      <c r="R96" s="91" t="str">
        <f t="shared" si="59"/>
        <v/>
      </c>
      <c r="S96" s="108" t="str">
        <f t="shared" si="61"/>
        <v/>
      </c>
      <c r="W96">
        <f t="shared" si="57"/>
        <v>45</v>
      </c>
      <c r="X96" t="s">
        <v>107</v>
      </c>
      <c r="Y96" t="s">
        <v>108</v>
      </c>
      <c r="AH96" s="90"/>
      <c r="AJ96" s="90" t="s">
        <v>446</v>
      </c>
    </row>
    <row r="97" spans="1:36" x14ac:dyDescent="0.15">
      <c r="A97" s="9">
        <f t="shared" si="60"/>
        <v>5</v>
      </c>
      <c r="B97" s="9" t="str">
        <f>B$93</f>
        <v>FA 22</v>
      </c>
      <c r="C97" s="73"/>
      <c r="D97" s="73"/>
      <c r="E97" s="73"/>
      <c r="I97" s="9">
        <f>IF(D97="",0,D97*VLOOKUP(E97,'New SE'!AE$2:AF$32,2,0))</f>
        <v>0</v>
      </c>
      <c r="J97" s="49"/>
      <c r="K97" s="49"/>
      <c r="L97" s="49"/>
      <c r="Q97" s="45" t="str">
        <f t="shared" si="58"/>
        <v/>
      </c>
      <c r="R97" s="91" t="str">
        <f t="shared" si="59"/>
        <v/>
      </c>
      <c r="S97" s="108" t="str">
        <f t="shared" si="61"/>
        <v/>
      </c>
      <c r="W97">
        <f t="shared" si="57"/>
        <v>46</v>
      </c>
      <c r="X97" t="s">
        <v>107</v>
      </c>
      <c r="Y97" t="s">
        <v>108</v>
      </c>
      <c r="AH97" s="90"/>
      <c r="AJ97" s="90" t="s">
        <v>447</v>
      </c>
    </row>
    <row r="98" spans="1:36" ht="14" thickBot="1" x14ac:dyDescent="0.2">
      <c r="A98" s="9">
        <f t="shared" si="60"/>
        <v>6</v>
      </c>
      <c r="B98" s="9" t="str">
        <f>B$93</f>
        <v>FA 22</v>
      </c>
      <c r="C98" s="73"/>
      <c r="D98" s="73"/>
      <c r="E98" s="73"/>
      <c r="I98" s="9">
        <f>IF(D98="",0,D98*VLOOKUP(E98,'New SE'!AE$2:AF$32,2,0))</f>
        <v>0</v>
      </c>
      <c r="J98" s="49"/>
      <c r="K98" s="49"/>
      <c r="L98" s="49"/>
      <c r="Q98" s="45" t="str">
        <f t="shared" si="58"/>
        <v/>
      </c>
      <c r="R98" s="91" t="str">
        <f t="shared" si="59"/>
        <v/>
      </c>
      <c r="S98" s="108" t="str">
        <f t="shared" si="61"/>
        <v/>
      </c>
      <c r="W98">
        <f t="shared" si="57"/>
        <v>47</v>
      </c>
      <c r="X98" t="s">
        <v>107</v>
      </c>
      <c r="Y98" t="s">
        <v>108</v>
      </c>
      <c r="AH98" s="90"/>
      <c r="AJ98" s="90" t="s">
        <v>448</v>
      </c>
    </row>
    <row r="99" spans="1:36" ht="14" thickBot="1" x14ac:dyDescent="0.2">
      <c r="A99" s="9">
        <f t="shared" si="60"/>
        <v>7</v>
      </c>
      <c r="B99" s="50"/>
      <c r="C99" s="75"/>
      <c r="D99" s="51">
        <f>SUM(D93:D98)</f>
        <v>0</v>
      </c>
      <c r="E99" s="51"/>
      <c r="F99" s="68"/>
      <c r="G99" s="68"/>
      <c r="H99" s="51"/>
      <c r="I99" s="51"/>
      <c r="J99" s="52" t="str">
        <f>IF(D99=0,"",SUM(I93:I98)/(D99-SUMIF(E93:E98,"=I",D93:D98)-SUMIF(E93:E98,"=P",D93:D98)-SUMIF(E93:E98,"=R",D93:D98)-SUMIF(E93:E98,"=S",D93:D98)-SUMIF(E93:E98,"=W",D93:D98)-SUMIF(E93:E98,"=Z",D93:D98)-SUMIF(E93:E98,"=RP",D93:D98)))</f>
        <v/>
      </c>
      <c r="K99" s="52"/>
      <c r="L99" s="52" t="str">
        <f>IF(ISERR(SUM(I$93:I98)/(P99-SUMIF(E$93:E98,"=I",D$93:D98)-SUMIF(E$93:E98,"=P",D$93:D98)-SUMIF(E$93:E98,"=R",D$93:D98)-SUMIF(E$93:E98,"=S",D$93:D98)-SUMIF(E$93:E98,"=W",D$93:D98)-SUMIF(E$93:E98,"=Z",D$93:D98)-SUMIF(E$93:E98,"=RP",D$93:D98))),"",SUM(I$93:I98)/(P99-SUMIF(E$93:E98,"=I",D$93:D98)-SUMIF(E$93:E98,"=P",D$93:D98)-SUMIF(E$93:E98,"=R",D$93:D98)-SUMIF(E$93:E98,"=S",D$93:D98)-SUMIF(E$93:E98,"=W",D$93:D98)-SUMIF(E$93:E98,"=Z",D$93:D98)-SUMIF(E$93:E98,"=RP",D$93:D98)))</f>
        <v/>
      </c>
      <c r="M99" s="68"/>
      <c r="N99" s="68"/>
      <c r="O99" s="51"/>
      <c r="P99" s="51">
        <f>D99</f>
        <v>0</v>
      </c>
      <c r="Q99" s="53"/>
      <c r="R99" s="91" t="str">
        <f t="shared" si="59"/>
        <v/>
      </c>
      <c r="S99" s="108" t="str">
        <f t="shared" si="61"/>
        <v/>
      </c>
      <c r="W99">
        <f>W98+1</f>
        <v>48</v>
      </c>
      <c r="X99" t="s">
        <v>107</v>
      </c>
      <c r="Y99" t="s">
        <v>108</v>
      </c>
      <c r="AH99" s="90"/>
      <c r="AJ99" s="90" t="s">
        <v>449</v>
      </c>
    </row>
    <row r="100" spans="1:36" x14ac:dyDescent="0.15">
      <c r="A100" s="9">
        <f t="shared" si="60"/>
        <v>8</v>
      </c>
      <c r="B100" s="76" t="str">
        <f>"SP "&amp;RIGHT(B93,2)+1</f>
        <v>SP 23</v>
      </c>
      <c r="C100" s="73"/>
      <c r="D100" s="74"/>
      <c r="E100" s="74"/>
      <c r="I100" s="9">
        <f>IF(D100="",0,D100*VLOOKUP(E100,'New SE'!AE$2:AF$32,2,0))</f>
        <v>0</v>
      </c>
      <c r="J100" s="49"/>
      <c r="K100" s="49"/>
      <c r="L100" s="49"/>
      <c r="Q100" s="45" t="str">
        <f t="shared" ref="Q100:Q105" si="62">IF(AND(ISERROR(MATCH(A100,$V$11:$V$50,0)),ISERROR(MATCH(A100,$W$11:$W$50,0))),"",IF(AND(ISERROR(MATCH(A100,$V$11:$V$50,0)),1-ISERROR(MATCH(A100,$W$11:$W$50,0))),VLOOKUP(MATCH(A100,$W$11:$W$50,0),W$52:Y$101,3,0),VLOOKUP(MATCH(A100,$V$11:$V$50,0),W$52:Y$101,2,0)))</f>
        <v/>
      </c>
      <c r="R100" s="91" t="str">
        <f t="shared" si="59"/>
        <v/>
      </c>
      <c r="S100" s="108" t="str">
        <f t="shared" si="61"/>
        <v/>
      </c>
      <c r="W100">
        <f t="shared" si="57"/>
        <v>49</v>
      </c>
      <c r="X100" t="s">
        <v>107</v>
      </c>
      <c r="Y100" t="s">
        <v>108</v>
      </c>
      <c r="AH100" s="90"/>
      <c r="AJ100" s="90" t="s">
        <v>450</v>
      </c>
    </row>
    <row r="101" spans="1:36" x14ac:dyDescent="0.15">
      <c r="A101" s="9">
        <f t="shared" si="60"/>
        <v>9</v>
      </c>
      <c r="B101" s="1" t="str">
        <f>B$100</f>
        <v>SP 23</v>
      </c>
      <c r="C101" s="73"/>
      <c r="D101" s="74"/>
      <c r="E101" s="74"/>
      <c r="I101" s="9">
        <f>IF(D101="",0,D101*VLOOKUP(E101,'New SE'!AE$2:AF$32,2,0))</f>
        <v>0</v>
      </c>
      <c r="J101" s="49"/>
      <c r="K101" s="49"/>
      <c r="L101" s="49"/>
      <c r="Q101" s="9" t="str">
        <f t="shared" si="62"/>
        <v/>
      </c>
      <c r="R101" s="91" t="str">
        <f t="shared" si="59"/>
        <v/>
      </c>
      <c r="S101" s="108" t="str">
        <f t="shared" si="61"/>
        <v/>
      </c>
      <c r="W101">
        <f t="shared" si="57"/>
        <v>50</v>
      </c>
      <c r="X101" t="s">
        <v>107</v>
      </c>
      <c r="Y101" t="s">
        <v>108</v>
      </c>
      <c r="AH101" s="90"/>
      <c r="AJ101" s="90" t="s">
        <v>451</v>
      </c>
    </row>
    <row r="102" spans="1:36" x14ac:dyDescent="0.15">
      <c r="A102" s="9">
        <f t="shared" si="60"/>
        <v>10</v>
      </c>
      <c r="B102" s="1" t="str">
        <f>B$100</f>
        <v>SP 23</v>
      </c>
      <c r="C102" s="73"/>
      <c r="D102" s="74"/>
      <c r="E102" s="74"/>
      <c r="I102" s="9">
        <f>IF(D102="",0,D102*VLOOKUP(E102,'New SE'!AE$2:AF$32,2,0))</f>
        <v>0</v>
      </c>
      <c r="J102" s="49"/>
      <c r="K102" s="49"/>
      <c r="L102" s="49"/>
      <c r="Q102" s="9" t="str">
        <f t="shared" si="62"/>
        <v/>
      </c>
      <c r="R102" s="91" t="str">
        <f t="shared" si="59"/>
        <v/>
      </c>
      <c r="S102" s="108" t="str">
        <f t="shared" si="61"/>
        <v/>
      </c>
      <c r="W102" s="9"/>
      <c r="AH102" s="90"/>
      <c r="AJ102" s="90" t="s">
        <v>452</v>
      </c>
    </row>
    <row r="103" spans="1:36" x14ac:dyDescent="0.15">
      <c r="A103" s="9">
        <f t="shared" si="60"/>
        <v>11</v>
      </c>
      <c r="B103" s="1" t="str">
        <f>B$100</f>
        <v>SP 23</v>
      </c>
      <c r="C103" s="73"/>
      <c r="D103" s="74"/>
      <c r="E103" s="74"/>
      <c r="I103" s="9">
        <f>IF(D103="",0,D103*VLOOKUP(E103,'New SE'!AE$2:AF$32,2,0))</f>
        <v>0</v>
      </c>
      <c r="J103" s="49"/>
      <c r="K103" s="49"/>
      <c r="L103" s="49"/>
      <c r="Q103" s="9" t="str">
        <f t="shared" si="62"/>
        <v/>
      </c>
      <c r="R103" s="91" t="str">
        <f t="shared" si="59"/>
        <v/>
      </c>
      <c r="S103" s="108" t="str">
        <f t="shared" si="61"/>
        <v/>
      </c>
      <c r="W103" s="9"/>
      <c r="AH103" s="90"/>
      <c r="AJ103" s="90" t="s">
        <v>453</v>
      </c>
    </row>
    <row r="104" spans="1:36" x14ac:dyDescent="0.15">
      <c r="A104" s="9">
        <f t="shared" si="60"/>
        <v>12</v>
      </c>
      <c r="B104" s="1" t="str">
        <f>B$100</f>
        <v>SP 23</v>
      </c>
      <c r="C104" s="73"/>
      <c r="D104" s="74"/>
      <c r="E104" s="74"/>
      <c r="I104" s="9">
        <f>IF(D104="",0,D104*VLOOKUP(E104,'New SE'!AE$2:AF$32,2,0))</f>
        <v>0</v>
      </c>
      <c r="J104" s="49"/>
      <c r="K104" s="49"/>
      <c r="L104" s="49"/>
      <c r="Q104" s="9" t="str">
        <f t="shared" si="62"/>
        <v/>
      </c>
      <c r="R104" s="91" t="str">
        <f t="shared" si="59"/>
        <v/>
      </c>
      <c r="S104" s="108" t="str">
        <f t="shared" si="61"/>
        <v/>
      </c>
      <c r="W104" s="9"/>
      <c r="AH104" s="90"/>
      <c r="AJ104" s="90" t="s">
        <v>454</v>
      </c>
    </row>
    <row r="105" spans="1:36" ht="14" thickBot="1" x14ac:dyDescent="0.2">
      <c r="A105" s="9">
        <f t="shared" si="60"/>
        <v>13</v>
      </c>
      <c r="B105" s="1" t="str">
        <f>B$100</f>
        <v>SP 23</v>
      </c>
      <c r="C105" s="73"/>
      <c r="D105" s="74"/>
      <c r="E105" s="74"/>
      <c r="I105" s="9">
        <f>IF(D105="",0,D105*VLOOKUP(E105,'New SE'!AE$2:AF$32,2,0))</f>
        <v>0</v>
      </c>
      <c r="J105" s="49"/>
      <c r="K105" s="49"/>
      <c r="L105" s="49"/>
      <c r="Q105" s="9" t="str">
        <f t="shared" si="62"/>
        <v/>
      </c>
      <c r="R105" s="91" t="str">
        <f t="shared" si="59"/>
        <v/>
      </c>
      <c r="S105" s="108" t="str">
        <f t="shared" si="61"/>
        <v/>
      </c>
      <c r="W105" s="9"/>
      <c r="AH105" s="90"/>
      <c r="AJ105" s="90" t="s">
        <v>455</v>
      </c>
    </row>
    <row r="106" spans="1:36" ht="14" thickBot="1" x14ac:dyDescent="0.2">
      <c r="A106" s="9">
        <f t="shared" si="60"/>
        <v>14</v>
      </c>
      <c r="B106" s="50"/>
      <c r="C106" s="75"/>
      <c r="D106" s="51">
        <f>SUM(D100:D105)</f>
        <v>0</v>
      </c>
      <c r="E106" s="51"/>
      <c r="F106" s="68"/>
      <c r="G106" s="68"/>
      <c r="H106" s="51"/>
      <c r="I106" s="51"/>
      <c r="J106" s="52" t="str">
        <f>IF(D106=0,"",SUM(I100:I105)/(D106-SUMIF(E100:E105,"=I",D100:D105)-SUMIF(E100:E105,"=P",D100:D105)-SUMIF(E100:E105,"=R",D100:D105)-SUMIF(E100:E105,"=S",D100:D105)-SUMIF(E100:E105,"=W",D100:D105)-SUMIF(E100:E105,"=Z",D100:D105)-SUMIF(E100:E105,"=RP",D100:D105)))</f>
        <v/>
      </c>
      <c r="K106" s="52"/>
      <c r="L106" s="52" t="str">
        <f>IF(ISERR(SUM(I$93:I105)/(P106-SUMIF(E$93:E105,"=I",D$93:D105)-SUMIF(E$93:E105,"=P",D$93:D105)-SUMIF(E$93:E105,"=R",D$93:D105)-SUMIF(E$93:E105,"=S",D$93:D105)-SUMIF(E$93:E105,"=W",D$93:D105)-SUMIF(E$93:E105,"=Z",D$93:D105)-SUMIF(E$93:E105,"=RP",D$93:D105))),"",SUM(I$93:I105)/(P106-SUMIF(E$93:E105,"=I",D$93:D105)-SUMIF(E$93:E105,"=P",D$93:D105)-SUMIF(E$93:E105,"=R",D$93:D105)-SUMIF(E$93:E105,"=S",D$93:D105)-SUMIF(E$93:E105,"=W",D$93:D105)-SUMIF(E$93:E105,"=Z",D$93:D105)-SUMIF(E$93:E105,"=RP",D$93:D105)))</f>
        <v/>
      </c>
      <c r="M106" s="68"/>
      <c r="N106" s="68"/>
      <c r="O106" s="51"/>
      <c r="P106" s="51">
        <f>D106+P99</f>
        <v>0</v>
      </c>
      <c r="Q106" s="53"/>
      <c r="R106" s="91" t="str">
        <f t="shared" si="59"/>
        <v/>
      </c>
      <c r="S106" s="108" t="str">
        <f t="shared" si="61"/>
        <v/>
      </c>
      <c r="W106" s="9"/>
      <c r="AH106" s="90"/>
      <c r="AJ106" s="90" t="s">
        <v>456</v>
      </c>
    </row>
    <row r="107" spans="1:36" x14ac:dyDescent="0.15">
      <c r="A107" s="9">
        <f t="shared" si="60"/>
        <v>15</v>
      </c>
      <c r="B107" s="76" t="str">
        <f>"SU "&amp;RIGHT(B93,2)+1</f>
        <v>SU 23</v>
      </c>
      <c r="C107" s="74"/>
      <c r="D107" s="73"/>
      <c r="E107" s="74"/>
      <c r="I107" s="9">
        <f>IF(D107="",0,D107*VLOOKUP(E107,'New SE'!AE$2:AF$32,2,0))</f>
        <v>0</v>
      </c>
      <c r="J107" s="49"/>
      <c r="K107" s="49"/>
      <c r="L107" s="49"/>
      <c r="Q107" s="9" t="str">
        <f>IF(AND(ISERROR(MATCH(A107,$V$11:$V$50,0)),ISERROR(MATCH(A107,$W$11:$W$50,0))),"",IF(AND(ISERROR(MATCH(A107,$V$11:$V$50,0)),1-ISERROR(MATCH(A107,$W$11:$W$50,0))),VLOOKUP(MATCH(A107,$W$11:$W$50,0),W$52:Y$101,3,0),VLOOKUP(MATCH(A107,$V$11:$V$50,0),W$52:Y$101,2,0)))</f>
        <v/>
      </c>
      <c r="R107" s="91" t="str">
        <f t="shared" si="59"/>
        <v/>
      </c>
      <c r="S107" s="108" t="str">
        <f t="shared" si="61"/>
        <v/>
      </c>
      <c r="W107" s="9"/>
      <c r="AH107" s="90"/>
      <c r="AJ107" s="90" t="s">
        <v>457</v>
      </c>
    </row>
    <row r="108" spans="1:36" x14ac:dyDescent="0.15">
      <c r="A108" s="9">
        <f t="shared" si="60"/>
        <v>16</v>
      </c>
      <c r="B108" s="1" t="str">
        <f>B107</f>
        <v>SU 23</v>
      </c>
      <c r="C108" s="74"/>
      <c r="D108" s="73"/>
      <c r="E108" s="74"/>
      <c r="I108" s="9">
        <f>IF(D108="",0,D108*VLOOKUP(E108,'New SE'!AE$2:AF$32,2,0))</f>
        <v>0</v>
      </c>
      <c r="J108" s="49"/>
      <c r="K108" s="49"/>
      <c r="L108" s="49"/>
      <c r="Q108" s="9" t="str">
        <f>IF(AND(ISERROR(MATCH(A108,$V$11:$V$50,0)),ISERROR(MATCH(A108,$W$11:$W$50,0))),"",IF(AND(ISERROR(MATCH(A108,$V$11:$V$50,0)),1-ISERROR(MATCH(A108,$W$11:$W$50,0))),VLOOKUP(MATCH(A108,$W$11:$W$50,0),W$52:Y$101,3,0),VLOOKUP(MATCH(A108,$V$11:$V$50,0),W$52:Y$101,2,0)))</f>
        <v/>
      </c>
      <c r="R108" s="91" t="str">
        <f t="shared" si="59"/>
        <v/>
      </c>
      <c r="S108" s="108" t="str">
        <f t="shared" si="61"/>
        <v/>
      </c>
      <c r="W108" s="9"/>
      <c r="AH108" s="90"/>
      <c r="AJ108" s="90" t="s">
        <v>458</v>
      </c>
    </row>
    <row r="109" spans="1:36" ht="14" thickBot="1" x14ac:dyDescent="0.2">
      <c r="A109" s="9">
        <f t="shared" si="60"/>
        <v>17</v>
      </c>
      <c r="B109" s="1" t="str">
        <f>B107</f>
        <v>SU 23</v>
      </c>
      <c r="C109" s="73"/>
      <c r="D109" s="73"/>
      <c r="E109" s="73"/>
      <c r="I109" s="9">
        <f>IF(D109="",0,D109*VLOOKUP(E109,'New SE'!AE$2:AF$32,2,0))</f>
        <v>0</v>
      </c>
      <c r="J109" s="49"/>
      <c r="K109" s="49"/>
      <c r="L109" s="49"/>
      <c r="Q109" s="9" t="str">
        <f>IF(AND(ISERROR(MATCH(A109,$V$11:$V$50,0)),ISERROR(MATCH(A109,$W$11:$W$50,0))),"",IF(AND(ISERROR(MATCH(A109,$V$11:$V$50,0)),1-ISERROR(MATCH(A109,$W$11:$W$50,0))),VLOOKUP(MATCH(A109,$W$11:$W$50,0),W$52:Y$101,3,0),VLOOKUP(MATCH(A109,$V$11:$V$50,0),W$52:Y$101,2,0)))</f>
        <v/>
      </c>
      <c r="R109" s="91" t="str">
        <f t="shared" si="59"/>
        <v/>
      </c>
      <c r="S109" s="108" t="str">
        <f t="shared" si="61"/>
        <v/>
      </c>
      <c r="W109" s="9"/>
      <c r="AH109" s="90"/>
      <c r="AJ109" s="90" t="s">
        <v>459</v>
      </c>
    </row>
    <row r="110" spans="1:36" ht="14" thickBot="1" x14ac:dyDescent="0.2">
      <c r="A110" s="9">
        <f t="shared" si="60"/>
        <v>18</v>
      </c>
      <c r="B110" s="50"/>
      <c r="C110" s="75"/>
      <c r="D110" s="51">
        <f>SUM(D107:D109)</f>
        <v>0</v>
      </c>
      <c r="E110" s="51"/>
      <c r="F110" s="68"/>
      <c r="G110" s="68"/>
      <c r="H110" s="51"/>
      <c r="I110" s="51"/>
      <c r="J110" s="52" t="str">
        <f>IF(D110=0,"",SUM(I107:I109)/(D110-SUMIF(E107:E109,"=I",D107:D109)-SUMIF(E107:E109,"=P",D107:D109)-SUMIF(E107:E109,"=R",D107:D109)-SUMIF(E107:E109,"=S",D107:D109)-SUMIF(E107:E109,"=W",D107:D109)-SUMIF(E107:E109,"=Z",D107:D109)-SUMIF(E107:E109,"=RP",D107:D109)))</f>
        <v/>
      </c>
      <c r="K110" s="52"/>
      <c r="L110" s="52" t="str">
        <f>IF(ISERR(SUM(I$93:I109)/(P110-SUMIF(E$93:E109,"=I",D$93:D109)-SUMIF(E$93:E109,"=P",D$93:D109)-SUMIF(E$93:E109,"=R",D$93:D109)-SUMIF(E$93:E109,"=S",D$93:D109)-SUMIF(E$93:E109,"=W",D$93:D109)-SUMIF(E$93:E109,"=Z",D$93:D109)-SUMIF(E$93:E109,"=RP",D$93:D109))),"",SUM(I$93:I109)/(P110-SUMIF(E$93:E109,"=I",D$93:D109)-SUMIF(E$93:E109,"=P",D$93:D109)-SUMIF(E$93:E109,"=R",D$93:D109)-SUMIF(E$93:E109,"=S",D$93:D109)-SUMIF(E$93:E109,"=W",D$93:D109)-SUMIF(E$93:E109,"=Z",D$93:D109)-SUMIF(E$93:E109,"=RP",D$93:D109)))</f>
        <v/>
      </c>
      <c r="M110" s="68"/>
      <c r="N110" s="68"/>
      <c r="O110" s="51"/>
      <c r="P110" s="51">
        <f>D110+P106</f>
        <v>0</v>
      </c>
      <c r="Q110" s="53"/>
      <c r="R110" s="91" t="str">
        <f t="shared" si="59"/>
        <v/>
      </c>
      <c r="S110" s="108" t="str">
        <f t="shared" si="61"/>
        <v/>
      </c>
      <c r="W110" s="9"/>
      <c r="AH110" s="90"/>
      <c r="AJ110" s="90" t="s">
        <v>460</v>
      </c>
    </row>
    <row r="111" spans="1:36" x14ac:dyDescent="0.15">
      <c r="A111" s="9">
        <f t="shared" si="60"/>
        <v>19</v>
      </c>
      <c r="B111" s="45" t="str">
        <f>"FA "&amp;RIGHT(B93,2)+1</f>
        <v>FA 23</v>
      </c>
      <c r="C111" s="73"/>
      <c r="D111" s="74"/>
      <c r="E111" s="74"/>
      <c r="I111" s="9">
        <f>IF(D111="",0,D111*VLOOKUP(E111,'New SE'!AE$2:AF$32,2,0))</f>
        <v>0</v>
      </c>
      <c r="J111" s="49"/>
      <c r="K111" s="49"/>
      <c r="L111" s="49"/>
      <c r="Q111" s="9" t="str">
        <f t="shared" ref="Q111:Q116" si="63">IF(AND(ISERROR(MATCH(A111,$V$11:$V$50,0)),ISERROR(MATCH(A111,$W$11:$W$50,0))),"",IF(AND(ISERROR(MATCH(A111,$V$11:$V$50,0)),1-ISERROR(MATCH(A111,$W$11:$W$50,0))),VLOOKUP(MATCH(A111,$W$11:$W$50,0),W$52:Y$101,3,0),VLOOKUP(MATCH(A111,$V$11:$V$50,0),W$52:Y$101,2,0)))</f>
        <v/>
      </c>
      <c r="R111" s="91" t="str">
        <f t="shared" si="59"/>
        <v/>
      </c>
      <c r="S111" s="108" t="str">
        <f t="shared" si="61"/>
        <v/>
      </c>
      <c r="W111" s="9"/>
      <c r="AH111" s="90"/>
      <c r="AJ111" s="90" t="s">
        <v>461</v>
      </c>
    </row>
    <row r="112" spans="1:36" x14ac:dyDescent="0.15">
      <c r="A112" s="9">
        <f t="shared" si="60"/>
        <v>20</v>
      </c>
      <c r="B112" s="9" t="str">
        <f>B$111</f>
        <v>FA 23</v>
      </c>
      <c r="C112" s="74"/>
      <c r="D112" s="74"/>
      <c r="E112" s="74"/>
      <c r="I112" s="9">
        <f>IF(D112="",0,D112*VLOOKUP(E112,'New SE'!AE$2:AF$32,2,0))</f>
        <v>0</v>
      </c>
      <c r="J112" s="49"/>
      <c r="K112" s="49"/>
      <c r="L112" s="49"/>
      <c r="Q112" s="9" t="str">
        <f t="shared" si="63"/>
        <v/>
      </c>
      <c r="R112" s="91" t="str">
        <f t="shared" si="59"/>
        <v/>
      </c>
      <c r="S112" s="108" t="str">
        <f t="shared" si="61"/>
        <v/>
      </c>
      <c r="W112" s="9"/>
      <c r="AH112" s="90"/>
      <c r="AJ112" s="90" t="s">
        <v>462</v>
      </c>
    </row>
    <row r="113" spans="1:36" x14ac:dyDescent="0.15">
      <c r="A113" s="9">
        <f t="shared" si="60"/>
        <v>21</v>
      </c>
      <c r="B113" s="9" t="str">
        <f>B$111</f>
        <v>FA 23</v>
      </c>
      <c r="C113" s="73"/>
      <c r="D113" s="73"/>
      <c r="E113" s="73"/>
      <c r="I113" s="9">
        <f>IF(D113="",0,D113*VLOOKUP(E113,'New SE'!AE$2:AF$32,2,0))</f>
        <v>0</v>
      </c>
      <c r="J113" s="49"/>
      <c r="K113" s="49"/>
      <c r="L113" s="49"/>
      <c r="Q113" s="9" t="str">
        <f t="shared" si="63"/>
        <v/>
      </c>
      <c r="R113" s="91" t="str">
        <f t="shared" si="59"/>
        <v/>
      </c>
      <c r="S113" s="108" t="str">
        <f t="shared" si="61"/>
        <v/>
      </c>
      <c r="W113" s="9"/>
      <c r="AH113" s="90"/>
      <c r="AJ113" s="90" t="s">
        <v>463</v>
      </c>
    </row>
    <row r="114" spans="1:36" x14ac:dyDescent="0.15">
      <c r="A114" s="9">
        <f t="shared" si="60"/>
        <v>22</v>
      </c>
      <c r="B114" s="9" t="str">
        <f>B$111</f>
        <v>FA 23</v>
      </c>
      <c r="C114" s="74"/>
      <c r="D114" s="73"/>
      <c r="E114" s="73"/>
      <c r="I114" s="9">
        <f>IF(D114="",0,D114*VLOOKUP(E114,'New SE'!AE$2:AF$32,2,0))</f>
        <v>0</v>
      </c>
      <c r="J114" s="49"/>
      <c r="K114" s="49"/>
      <c r="L114" s="49"/>
      <c r="Q114" s="9" t="str">
        <f t="shared" si="63"/>
        <v/>
      </c>
      <c r="R114" s="91" t="str">
        <f t="shared" si="59"/>
        <v/>
      </c>
      <c r="S114" s="108" t="str">
        <f t="shared" si="61"/>
        <v/>
      </c>
      <c r="W114" s="9"/>
      <c r="AH114" s="90"/>
      <c r="AJ114" s="90" t="s">
        <v>464</v>
      </c>
    </row>
    <row r="115" spans="1:36" x14ac:dyDescent="0.15">
      <c r="A115" s="9">
        <f t="shared" si="60"/>
        <v>23</v>
      </c>
      <c r="B115" s="9" t="str">
        <f>B$111</f>
        <v>FA 23</v>
      </c>
      <c r="C115" s="73"/>
      <c r="D115" s="73"/>
      <c r="E115" s="73"/>
      <c r="I115" s="9">
        <f>IF(D115="",0,D115*VLOOKUP(E115,'New SE'!AE$2:AF$32,2,0))</f>
        <v>0</v>
      </c>
      <c r="J115" s="49"/>
      <c r="K115" s="49"/>
      <c r="L115" s="49"/>
      <c r="Q115" s="9" t="str">
        <f t="shared" si="63"/>
        <v/>
      </c>
      <c r="R115" s="91" t="str">
        <f t="shared" si="59"/>
        <v/>
      </c>
      <c r="S115" s="108" t="str">
        <f t="shared" si="61"/>
        <v/>
      </c>
      <c r="AD115" s="95"/>
      <c r="AH115" s="90"/>
      <c r="AJ115" s="90" t="s">
        <v>465</v>
      </c>
    </row>
    <row r="116" spans="1:36" ht="14" thickBot="1" x14ac:dyDescent="0.2">
      <c r="A116" s="9">
        <f t="shared" si="60"/>
        <v>24</v>
      </c>
      <c r="B116" s="9" t="str">
        <f>B$111</f>
        <v>FA 23</v>
      </c>
      <c r="C116" s="73"/>
      <c r="D116" s="73"/>
      <c r="E116" s="73"/>
      <c r="I116" s="9">
        <f>IF(D116="",0,D116*VLOOKUP(E116,'New SE'!AE$2:AF$32,2,0))</f>
        <v>0</v>
      </c>
      <c r="J116" s="49"/>
      <c r="K116" s="49"/>
      <c r="L116" s="49"/>
      <c r="Q116" s="9" t="str">
        <f t="shared" si="63"/>
        <v/>
      </c>
      <c r="R116" s="91" t="str">
        <f t="shared" si="59"/>
        <v/>
      </c>
      <c r="S116" s="108" t="str">
        <f t="shared" si="61"/>
        <v/>
      </c>
      <c r="AH116" s="90"/>
      <c r="AJ116" s="90" t="s">
        <v>466</v>
      </c>
    </row>
    <row r="117" spans="1:36" ht="14" thickBot="1" x14ac:dyDescent="0.2">
      <c r="A117" s="9">
        <f t="shared" si="60"/>
        <v>25</v>
      </c>
      <c r="B117" s="50"/>
      <c r="C117" s="75"/>
      <c r="D117" s="51">
        <f>SUM(D111:D116)</f>
        <v>0</v>
      </c>
      <c r="E117" s="51"/>
      <c r="F117" s="68"/>
      <c r="G117" s="68"/>
      <c r="H117" s="51"/>
      <c r="I117" s="51"/>
      <c r="J117" s="52" t="str">
        <f>IF(D117=0,"",SUM(I111:I116)/(D117-SUMIF(E111:E116,"=I",D111:D116)-SUMIF(E111:E116,"=P",D111:D116)-SUMIF(E111:E116,"=R",D111:D116)-SUMIF(E111:E116,"=S",D111:D116)-SUMIF(E111:E116,"=W",D111:D116)-SUMIF(E111:E116,"=Z",D111:D116)-SUMIF(E111:E116,"=RP",D111:D116)))</f>
        <v/>
      </c>
      <c r="K117" s="52"/>
      <c r="L117" s="52" t="str">
        <f>IF(ISERR(SUM(I$93:I116)/(P117-SUMIF(E$93:E116,"=I",D$93:D116)-SUMIF(E$93:E116,"=P",D$93:D116)-SUMIF(E$93:E116,"=R",D$93:D116)-SUMIF(E$93:E116,"=S",D$93:D116)-SUMIF(E$93:E116,"=W",D$93:D116)-SUMIF(E$93:E116,"=Z",D$93:D116)-SUMIF(E$93:E116,"=RP",D$93:D116))),"",SUM(I$93:I116)/(P117-SUMIF(E$93:E116,"=I",D$93:D116)-SUMIF(E$93:E116,"=P",D$93:D116)-SUMIF(E$93:E116,"=R",D$93:D116)-SUMIF(E$93:E116,"=S",D$93:D116)-SUMIF(E$93:E116,"=W",D$93:D116)-SUMIF(E$93:E116,"=Z",D$93:D116)-SUMIF(E$93:E116,"=RP",D$93:D116)))</f>
        <v/>
      </c>
      <c r="M117" s="68"/>
      <c r="N117" s="68"/>
      <c r="O117" s="51"/>
      <c r="P117" s="51">
        <f>D117+P110</f>
        <v>0</v>
      </c>
      <c r="Q117" s="53"/>
      <c r="R117" s="91" t="str">
        <f t="shared" si="59"/>
        <v/>
      </c>
      <c r="S117" s="108" t="str">
        <f t="shared" si="61"/>
        <v/>
      </c>
      <c r="AH117" s="90"/>
      <c r="AJ117" s="90" t="s">
        <v>467</v>
      </c>
    </row>
    <row r="118" spans="1:36" x14ac:dyDescent="0.15">
      <c r="A118" s="9">
        <f t="shared" si="60"/>
        <v>26</v>
      </c>
      <c r="B118" s="76" t="str">
        <f>"SP "&amp;RIGHT(B93,2)+2</f>
        <v>SP 24</v>
      </c>
      <c r="C118" s="74"/>
      <c r="D118" s="73"/>
      <c r="E118" s="74"/>
      <c r="I118" s="9">
        <f>IF(D118="",0,D118*VLOOKUP(E118,'New SE'!AE$2:AF$32,2,0))</f>
        <v>0</v>
      </c>
      <c r="J118" s="49"/>
      <c r="K118" s="49"/>
      <c r="L118" s="49"/>
      <c r="Q118" s="9" t="str">
        <f t="shared" ref="Q118:Q123" si="64">IF(AND(ISERROR(MATCH(A118,$V$11:$V$50,0)),ISERROR(MATCH(A118,$W$11:$W$50,0))),"",IF(AND(ISERROR(MATCH(A118,$V$11:$V$50,0)),1-ISERROR(MATCH(A118,$W$11:$W$50,0))),VLOOKUP(MATCH(A118,$W$11:$W$50,0),W$52:Y$101,3,0),VLOOKUP(MATCH(A118,$V$11:$V$50,0),W$52:Y$101,2,0)))</f>
        <v/>
      </c>
      <c r="R118" s="91" t="str">
        <f t="shared" si="59"/>
        <v/>
      </c>
      <c r="S118" s="108" t="str">
        <f t="shared" si="61"/>
        <v/>
      </c>
      <c r="AH118" s="90"/>
      <c r="AJ118" s="90" t="s">
        <v>468</v>
      </c>
    </row>
    <row r="119" spans="1:36" x14ac:dyDescent="0.15">
      <c r="A119" s="9">
        <f t="shared" si="60"/>
        <v>27</v>
      </c>
      <c r="B119" s="1" t="str">
        <f>B$118</f>
        <v>SP 24</v>
      </c>
      <c r="C119" s="74"/>
      <c r="D119" s="73"/>
      <c r="E119" s="74"/>
      <c r="I119" s="9">
        <f>IF(D119="",0,D119*VLOOKUP(E119,'New SE'!AE$2:AF$32,2,0))</f>
        <v>0</v>
      </c>
      <c r="J119" s="49"/>
      <c r="K119" s="49"/>
      <c r="L119" s="49"/>
      <c r="Q119" s="9" t="str">
        <f t="shared" si="64"/>
        <v/>
      </c>
      <c r="R119" s="91" t="str">
        <f t="shared" si="59"/>
        <v/>
      </c>
      <c r="S119" s="108" t="str">
        <f t="shared" si="61"/>
        <v/>
      </c>
      <c r="AH119" s="90"/>
      <c r="AJ119" s="90" t="s">
        <v>469</v>
      </c>
    </row>
    <row r="120" spans="1:36" x14ac:dyDescent="0.15">
      <c r="A120" s="9">
        <f t="shared" si="60"/>
        <v>28</v>
      </c>
      <c r="B120" s="1" t="str">
        <f>B$118</f>
        <v>SP 24</v>
      </c>
      <c r="C120" s="74"/>
      <c r="D120" s="73"/>
      <c r="E120" s="74"/>
      <c r="I120" s="9">
        <f>IF(D120="",0,D120*VLOOKUP(E120,'New SE'!AE$2:AF$32,2,0))</f>
        <v>0</v>
      </c>
      <c r="J120" s="49"/>
      <c r="K120" s="49"/>
      <c r="L120" s="49"/>
      <c r="Q120" s="9" t="str">
        <f t="shared" si="64"/>
        <v/>
      </c>
      <c r="R120" s="91" t="str">
        <f t="shared" si="59"/>
        <v/>
      </c>
      <c r="S120" s="108" t="str">
        <f t="shared" si="61"/>
        <v/>
      </c>
      <c r="AD120" s="95"/>
      <c r="AH120" s="90"/>
      <c r="AJ120" s="90" t="s">
        <v>470</v>
      </c>
    </row>
    <row r="121" spans="1:36" x14ac:dyDescent="0.15">
      <c r="A121" s="9">
        <f t="shared" si="60"/>
        <v>29</v>
      </c>
      <c r="B121" s="1" t="str">
        <f>B$118</f>
        <v>SP 24</v>
      </c>
      <c r="C121" s="74"/>
      <c r="D121" s="73"/>
      <c r="E121" s="74"/>
      <c r="I121" s="9">
        <f>IF(D121="",0,D121*VLOOKUP(E121,'New SE'!AE$2:AF$32,2,0))</f>
        <v>0</v>
      </c>
      <c r="J121" s="49"/>
      <c r="K121" s="49"/>
      <c r="L121" s="49"/>
      <c r="Q121" s="9" t="str">
        <f t="shared" si="64"/>
        <v/>
      </c>
      <c r="R121" s="91" t="str">
        <f t="shared" si="59"/>
        <v/>
      </c>
      <c r="S121" s="108" t="str">
        <f t="shared" si="61"/>
        <v/>
      </c>
      <c r="AH121" s="90"/>
      <c r="AJ121" s="90" t="s">
        <v>471</v>
      </c>
    </row>
    <row r="122" spans="1:36" x14ac:dyDescent="0.15">
      <c r="A122" s="9">
        <f t="shared" si="60"/>
        <v>30</v>
      </c>
      <c r="B122" s="1" t="str">
        <f>B$118</f>
        <v>SP 24</v>
      </c>
      <c r="C122" s="73"/>
      <c r="D122" s="73"/>
      <c r="E122" s="73"/>
      <c r="I122" s="9">
        <f>IF(D122="",0,D122*VLOOKUP(E122,'New SE'!AE$2:AF$32,2,0))</f>
        <v>0</v>
      </c>
      <c r="J122" s="49"/>
      <c r="K122" s="49"/>
      <c r="L122" s="49"/>
      <c r="Q122" s="9" t="str">
        <f t="shared" si="64"/>
        <v/>
      </c>
      <c r="R122" s="91" t="str">
        <f t="shared" si="59"/>
        <v/>
      </c>
      <c r="S122" s="108" t="str">
        <f t="shared" si="61"/>
        <v/>
      </c>
      <c r="AD122" s="95"/>
      <c r="AH122" s="90"/>
      <c r="AJ122" s="90" t="s">
        <v>472</v>
      </c>
    </row>
    <row r="123" spans="1:36" ht="14" thickBot="1" x14ac:dyDescent="0.2">
      <c r="A123" s="9">
        <f t="shared" si="60"/>
        <v>31</v>
      </c>
      <c r="B123" s="1" t="str">
        <f>B$118</f>
        <v>SP 24</v>
      </c>
      <c r="C123" s="73"/>
      <c r="D123" s="73"/>
      <c r="E123" s="73"/>
      <c r="I123" s="9">
        <f>IF(D123="",0,D123*VLOOKUP(E123,'New SE'!AE$2:AF$32,2,0))</f>
        <v>0</v>
      </c>
      <c r="J123" s="49"/>
      <c r="K123" s="49"/>
      <c r="L123" s="49"/>
      <c r="Q123" s="9" t="str">
        <f t="shared" si="64"/>
        <v/>
      </c>
      <c r="R123" s="124" t="str">
        <f t="shared" ref="R123" si="65">IF(OR(Q123="",E123=""),"",1)</f>
        <v/>
      </c>
      <c r="S123" s="124" t="str">
        <f t="shared" ref="S123" si="66">IF(AND(R123=1,OR(COUNTIF($B$33:$B$36,"="&amp;C123)+COUNTIF($I$33:$I$36,"="&amp;C123)+COUNTIF($B$44:$B$46,"="&amp;C123)+COUNTIF($I$44:$I$45,"="&amp;C123)=1,AND(COUNTIF($C$37:$C$37,"="&amp;C123)+COUNTIF($J$37:$J$37,"="&amp;C123)+COUNTIF($C$47:$C$48,"="&amp;C123)+COUNTIF($J$46:$J$48,"="&amp;C123)=1,OR(ISNUMBER(MATCH(LEFT(C123,4),$AL$34:$AL$49,0)),ISNUMBER(MATCH(LEFT(C123,3),$AL$34:$AL$49,0)),ISNUMBER(MATCH(LEFT(C123,2),$AL$34:$AL$49,0)))))),1,"")</f>
        <v/>
      </c>
      <c r="AH123" s="90"/>
      <c r="AJ123" s="90" t="s">
        <v>473</v>
      </c>
    </row>
    <row r="124" spans="1:36" ht="14" thickBot="1" x14ac:dyDescent="0.2">
      <c r="A124" s="9">
        <f t="shared" si="60"/>
        <v>32</v>
      </c>
      <c r="B124" s="50"/>
      <c r="C124" s="75"/>
      <c r="D124" s="51">
        <f>SUM(D118:D123)</f>
        <v>0</v>
      </c>
      <c r="E124" s="51"/>
      <c r="F124" s="68"/>
      <c r="G124" s="68"/>
      <c r="H124" s="51"/>
      <c r="I124" s="51"/>
      <c r="J124" s="52" t="str">
        <f>IF(D124=0,"",SUM(I118:I123)/(D124-SUMIF(E118:E123,"=I",D118:D123)-SUMIF(E118:E123,"=P",D118:D123)-SUMIF(E118:E123,"=R",D118:D123)-SUMIF(E118:E123,"=S",D118:D123)-SUMIF(E118:E123,"=W",D118:D123)-SUMIF(E118:E123,"=Z",D118:D123)-SUMIF(E118:E123,"=RP",D118:D123)))</f>
        <v/>
      </c>
      <c r="K124" s="52"/>
      <c r="L124" s="52" t="str">
        <f>IF(ISERR(SUM(I$93:I123)/(P124-SUMIF(E$93:E123,"=I",D$93:D123)-SUMIF(E$93:E123,"=P",D$93:D123)-SUMIF(E$93:E123,"=R",D$93:D123)-SUMIF(E$93:E123,"=S",D$93:D123)-SUMIF(E$93:E123,"=W",D$93:D123)-SUMIF(E$93:E123,"=Z",D$93:D123)-SUMIF(E$93:E123,"=RP",D$93:D123))),"",SUM(I$93:I123)/(P124-SUMIF(E$93:E123,"=I",D$93:D123)-SUMIF(E$93:E123,"=P",D$93:D123)-SUMIF(E$93:E123,"=R",D$93:D123)-SUMIF(E$93:E123,"=S",D$93:D123)-SUMIF(E$93:E123,"=W",D$93:D123)-SUMIF(E$93:E123,"=Z",D$93:D123)-SUMIF(E$93:E123,"=RP",D$93:D123)))</f>
        <v/>
      </c>
      <c r="M124" s="68"/>
      <c r="N124" s="68"/>
      <c r="O124" s="51"/>
      <c r="P124" s="51">
        <f>D124+P117</f>
        <v>0</v>
      </c>
      <c r="Q124" s="53"/>
      <c r="R124" s="91" t="str">
        <f t="shared" si="59"/>
        <v/>
      </c>
      <c r="S124" s="108" t="str">
        <f t="shared" si="61"/>
        <v/>
      </c>
      <c r="AH124" s="90"/>
      <c r="AJ124" s="90" t="s">
        <v>474</v>
      </c>
    </row>
    <row r="125" spans="1:36" x14ac:dyDescent="0.15">
      <c r="A125" s="9">
        <f t="shared" si="60"/>
        <v>33</v>
      </c>
      <c r="B125" s="76" t="str">
        <f>"SU "&amp;RIGHT(B93,2)+2</f>
        <v>SU 24</v>
      </c>
      <c r="C125" s="73"/>
      <c r="D125" s="73"/>
      <c r="E125" s="73"/>
      <c r="I125" s="9">
        <f>IF(D125="",0,D125*VLOOKUP(E125,'New SE'!AE$2:AF$32,2,0))</f>
        <v>0</v>
      </c>
      <c r="J125" s="49"/>
      <c r="K125" s="49"/>
      <c r="L125" s="49"/>
      <c r="Q125" s="9" t="str">
        <f>IF(AND(ISERROR(MATCH(A125,$V$11:$V$50,0)),ISERROR(MATCH(A125,$W$11:$W$50,0))),"",IF(AND(ISERROR(MATCH(A125,$V$11:$V$50,0)),1-ISERROR(MATCH(A125,$W$11:$W$50,0))),VLOOKUP(MATCH(A125,$W$11:$W$50,0),W$52:Y$101,3,0),VLOOKUP(MATCH(A125,$V$11:$V$50,0),W$52:Y$101,2,0)))</f>
        <v/>
      </c>
      <c r="R125" s="91" t="str">
        <f t="shared" ref="R125:R156" si="67">IF(OR(Q125="",E125=""),"",1)</f>
        <v/>
      </c>
      <c r="S125" s="108" t="str">
        <f t="shared" si="61"/>
        <v/>
      </c>
      <c r="AH125" s="90"/>
      <c r="AJ125" s="90" t="s">
        <v>475</v>
      </c>
    </row>
    <row r="126" spans="1:36" x14ac:dyDescent="0.15">
      <c r="A126" s="9">
        <f t="shared" si="60"/>
        <v>34</v>
      </c>
      <c r="B126" s="1" t="str">
        <f>B125</f>
        <v>SU 24</v>
      </c>
      <c r="C126" s="73"/>
      <c r="D126" s="73"/>
      <c r="E126" s="73"/>
      <c r="I126" s="9">
        <f>IF(D126="",0,D126*VLOOKUP(E126,'New SE'!AE$2:AF$32,2,0))</f>
        <v>0</v>
      </c>
      <c r="J126" s="49"/>
      <c r="K126" s="49"/>
      <c r="L126" s="49"/>
      <c r="Q126" s="9" t="str">
        <f>IF(AND(ISERROR(MATCH(A126,$V$11:$V$50,0)),ISERROR(MATCH(A126,$W$11:$W$50,0))),"",IF(AND(ISERROR(MATCH(A126,$V$11:$V$50,0)),1-ISERROR(MATCH(A126,$W$11:$W$50,0))),VLOOKUP(MATCH(A126,$W$11:$W$50,0),W$52:Y$101,3,0),VLOOKUP(MATCH(A126,$V$11:$V$50,0),W$52:Y$101,2,0)))</f>
        <v/>
      </c>
      <c r="R126" s="91" t="str">
        <f t="shared" si="67"/>
        <v/>
      </c>
      <c r="S126" s="108" t="str">
        <f t="shared" si="61"/>
        <v/>
      </c>
      <c r="AH126" s="90"/>
      <c r="AJ126" s="90" t="s">
        <v>476</v>
      </c>
    </row>
    <row r="127" spans="1:36" ht="14" thickBot="1" x14ac:dyDescent="0.2">
      <c r="A127" s="9">
        <f t="shared" si="60"/>
        <v>35</v>
      </c>
      <c r="B127" s="1" t="str">
        <f>B125</f>
        <v>SU 24</v>
      </c>
      <c r="C127" s="73"/>
      <c r="D127" s="73"/>
      <c r="E127" s="73"/>
      <c r="I127" s="9">
        <f>IF(D127="",0,D127*VLOOKUP(E127,'New SE'!AE$2:AF$32,2,0))</f>
        <v>0</v>
      </c>
      <c r="J127" s="49"/>
      <c r="K127" s="49"/>
      <c r="L127" s="49"/>
      <c r="Q127" s="9" t="str">
        <f>IF(AND(ISERROR(MATCH(A127,$V$11:$V$50,0)),ISERROR(MATCH(A127,$W$11:$W$50,0))),"",IF(AND(ISERROR(MATCH(A127,$V$11:$V$50,0)),1-ISERROR(MATCH(A127,$W$11:$W$50,0))),VLOOKUP(MATCH(A127,$W$11:$W$50,0),W$52:Y$101,3,0),VLOOKUP(MATCH(A127,$V$11:$V$50,0),W$52:Y$101,2,0)))</f>
        <v/>
      </c>
      <c r="R127" s="91" t="str">
        <f t="shared" si="67"/>
        <v/>
      </c>
      <c r="S127" s="108" t="str">
        <f t="shared" si="61"/>
        <v/>
      </c>
      <c r="AH127" s="90"/>
      <c r="AJ127" s="90" t="s">
        <v>477</v>
      </c>
    </row>
    <row r="128" spans="1:36" ht="14" thickBot="1" x14ac:dyDescent="0.2">
      <c r="A128" s="9">
        <f t="shared" si="60"/>
        <v>36</v>
      </c>
      <c r="B128" s="50"/>
      <c r="C128" s="75"/>
      <c r="D128" s="51">
        <f>SUM(D125:D127)</f>
        <v>0</v>
      </c>
      <c r="E128" s="51"/>
      <c r="F128" s="68"/>
      <c r="G128" s="68"/>
      <c r="H128" s="51"/>
      <c r="I128" s="51"/>
      <c r="J128" s="52" t="str">
        <f>IF(D128=0,"",SUM(I125:I127)/(D128-SUMIF(E125:E127,"=I",D125:D127)-SUMIF(E125:E127,"=P",D125:D127)-SUMIF(E125:E127,"=R",D125:D127)-SUMIF(E125:E127,"=S",D125:D127)-SUMIF(E125:E127,"=W",D125:D127)-SUMIF(E125:E127,"=Z",D125:D127)-SUMIF(E125:E127,"=RP",D125:D127)))</f>
        <v/>
      </c>
      <c r="K128" s="52"/>
      <c r="L128" s="52" t="str">
        <f>IF(ISERR(SUM(I$93:I127)/(P128-SUMIF(E$93:E127,"=I",D$93:D127)-SUMIF(E$93:E127,"=P",D$93:D127)-SUMIF(E$93:E127,"=R",D$93:D127)-SUMIF(E$93:E127,"=S",D$93:D127)-SUMIF(E$93:E127,"=W",D$93:D127)-SUMIF(E$93:E127,"=Z",D$93:D127)-SUMIF(E$93:E127,"=RP",D$93:D127))),"",SUM(I$93:I127)/(P128-SUMIF(E$93:E127,"=I",D$93:D127)-SUMIF(E$93:E127,"=P",D$93:D127)-SUMIF(E$93:E127,"=R",D$93:D127)-SUMIF(E$93:E127,"=S",D$93:D127)-SUMIF(E$93:E127,"=W",D$93:D127)-SUMIF(E$93:E127,"=Z",D$93:D127)-SUMIF(E$93:E127,"=RP",D$93:D127)))</f>
        <v/>
      </c>
      <c r="M128" s="68"/>
      <c r="N128" s="68"/>
      <c r="O128" s="51"/>
      <c r="P128" s="51">
        <f>D128+P124</f>
        <v>0</v>
      </c>
      <c r="Q128" s="53"/>
      <c r="R128" s="91" t="str">
        <f t="shared" si="67"/>
        <v/>
      </c>
      <c r="S128" s="108" t="str">
        <f t="shared" si="61"/>
        <v/>
      </c>
      <c r="AH128" s="90"/>
      <c r="AJ128" s="90" t="s">
        <v>478</v>
      </c>
    </row>
    <row r="129" spans="1:36" x14ac:dyDescent="0.15">
      <c r="A129" s="9">
        <f t="shared" si="60"/>
        <v>37</v>
      </c>
      <c r="B129" s="45" t="str">
        <f>"FA "&amp;RIGHT(B93,2)+2</f>
        <v>FA 24</v>
      </c>
      <c r="C129" s="74"/>
      <c r="D129" s="73"/>
      <c r="E129" s="74"/>
      <c r="I129" s="9">
        <f>IF(D129="",0,D129*VLOOKUP(E129,'New SE'!AE$2:AF$32,2,0))</f>
        <v>0</v>
      </c>
      <c r="J129" s="49"/>
      <c r="K129" s="49"/>
      <c r="L129" s="49"/>
      <c r="Q129" s="9" t="str">
        <f t="shared" ref="Q129:Q134" si="68">IF(AND(ISERROR(MATCH(A129,$V$11:$V$50,0)),ISERROR(MATCH(A129,$W$11:$W$50,0))),"",IF(AND(ISERROR(MATCH(A129,$V$11:$V$50,0)),1-ISERROR(MATCH(A129,$W$11:$W$50,0))),VLOOKUP(MATCH(A129,$W$11:$W$50,0),W$52:Y$101,3,0),VLOOKUP(MATCH(A129,$V$11:$V$50,0),W$52:Y$101,2,0)))</f>
        <v/>
      </c>
      <c r="R129" s="91" t="str">
        <f t="shared" si="67"/>
        <v/>
      </c>
      <c r="S129" s="108" t="str">
        <f t="shared" si="61"/>
        <v/>
      </c>
      <c r="AH129" s="90"/>
      <c r="AJ129" s="90" t="s">
        <v>479</v>
      </c>
    </row>
    <row r="130" spans="1:36" x14ac:dyDescent="0.15">
      <c r="A130" s="9">
        <f t="shared" si="60"/>
        <v>38</v>
      </c>
      <c r="B130" s="9" t="str">
        <f>B$129</f>
        <v>FA 24</v>
      </c>
      <c r="C130" s="74"/>
      <c r="D130" s="73"/>
      <c r="E130" s="74"/>
      <c r="I130" s="9">
        <f>IF(D130="",0,D130*VLOOKUP(E130,'New SE'!AE$2:AF$32,2,0))</f>
        <v>0</v>
      </c>
      <c r="J130" s="49"/>
      <c r="K130" s="49"/>
      <c r="L130" s="49"/>
      <c r="Q130" s="9" t="str">
        <f t="shared" si="68"/>
        <v/>
      </c>
      <c r="R130" s="91" t="str">
        <f t="shared" si="67"/>
        <v/>
      </c>
      <c r="S130" s="108" t="str">
        <f t="shared" si="61"/>
        <v/>
      </c>
      <c r="AH130" s="90"/>
      <c r="AJ130" s="90" t="s">
        <v>480</v>
      </c>
    </row>
    <row r="131" spans="1:36" x14ac:dyDescent="0.15">
      <c r="A131" s="9">
        <f t="shared" si="60"/>
        <v>39</v>
      </c>
      <c r="B131" s="9" t="str">
        <f>B$129</f>
        <v>FA 24</v>
      </c>
      <c r="C131" s="74"/>
      <c r="D131" s="73"/>
      <c r="E131" s="74"/>
      <c r="I131" s="9">
        <f>IF(D131="",0,D131*VLOOKUP(E131,'New SE'!AE$2:AF$32,2,0))</f>
        <v>0</v>
      </c>
      <c r="J131" s="49"/>
      <c r="K131" s="49"/>
      <c r="L131" s="49"/>
      <c r="Q131" s="9" t="str">
        <f t="shared" si="68"/>
        <v/>
      </c>
      <c r="R131" s="91" t="str">
        <f t="shared" si="67"/>
        <v/>
      </c>
      <c r="S131" s="108" t="str">
        <f t="shared" si="61"/>
        <v/>
      </c>
      <c r="AH131" s="90"/>
      <c r="AJ131" s="90" t="s">
        <v>481</v>
      </c>
    </row>
    <row r="132" spans="1:36" x14ac:dyDescent="0.15">
      <c r="A132" s="9">
        <f t="shared" si="60"/>
        <v>40</v>
      </c>
      <c r="B132" s="9" t="str">
        <f>B$129</f>
        <v>FA 24</v>
      </c>
      <c r="C132" s="74"/>
      <c r="D132" s="73"/>
      <c r="E132" s="74"/>
      <c r="I132" s="9">
        <f>IF(D132="",0,D132*VLOOKUP(E132,'New SE'!AE$2:AF$32,2,0))</f>
        <v>0</v>
      </c>
      <c r="J132" s="49"/>
      <c r="K132" s="49"/>
      <c r="L132" s="49"/>
      <c r="Q132" s="9" t="str">
        <f t="shared" si="68"/>
        <v/>
      </c>
      <c r="R132" s="91" t="str">
        <f t="shared" si="67"/>
        <v/>
      </c>
      <c r="S132" s="108" t="str">
        <f t="shared" si="61"/>
        <v/>
      </c>
      <c r="AH132" s="90"/>
      <c r="AJ132" s="90" t="s">
        <v>482</v>
      </c>
    </row>
    <row r="133" spans="1:36" x14ac:dyDescent="0.15">
      <c r="A133" s="9">
        <f t="shared" si="60"/>
        <v>41</v>
      </c>
      <c r="B133" s="9" t="str">
        <f>B$129</f>
        <v>FA 24</v>
      </c>
      <c r="C133" s="74"/>
      <c r="D133" s="73"/>
      <c r="E133" s="74"/>
      <c r="I133" s="9">
        <f>IF(D133="",0,D133*VLOOKUP(E133,'New SE'!AE$2:AF$32,2,0))</f>
        <v>0</v>
      </c>
      <c r="J133" s="49"/>
      <c r="K133" s="49"/>
      <c r="L133" s="49"/>
      <c r="Q133" s="9" t="str">
        <f t="shared" si="68"/>
        <v/>
      </c>
      <c r="R133" s="91" t="str">
        <f t="shared" si="67"/>
        <v/>
      </c>
      <c r="S133" s="108" t="str">
        <f t="shared" si="61"/>
        <v/>
      </c>
      <c r="AH133" s="90"/>
      <c r="AJ133" s="90" t="s">
        <v>483</v>
      </c>
    </row>
    <row r="134" spans="1:36" ht="14" thickBot="1" x14ac:dyDescent="0.2">
      <c r="A134" s="9">
        <f t="shared" si="60"/>
        <v>42</v>
      </c>
      <c r="B134" s="9" t="str">
        <f>B$129</f>
        <v>FA 24</v>
      </c>
      <c r="C134" s="73"/>
      <c r="D134" s="73"/>
      <c r="E134" s="73"/>
      <c r="I134" s="9">
        <f>IF(D134="",0,D134*VLOOKUP(E134,'New SE'!AE$2:AF$32,2,0))</f>
        <v>0</v>
      </c>
      <c r="J134" s="49"/>
      <c r="K134" s="49"/>
      <c r="L134" s="49"/>
      <c r="Q134" s="9" t="str">
        <f t="shared" si="68"/>
        <v/>
      </c>
      <c r="R134" s="91" t="str">
        <f t="shared" si="67"/>
        <v/>
      </c>
      <c r="S134" s="108" t="str">
        <f t="shared" si="61"/>
        <v/>
      </c>
      <c r="AH134" s="90"/>
      <c r="AJ134" s="90" t="s">
        <v>484</v>
      </c>
    </row>
    <row r="135" spans="1:36" ht="14" thickBot="1" x14ac:dyDescent="0.2">
      <c r="A135" s="9">
        <f t="shared" si="60"/>
        <v>43</v>
      </c>
      <c r="B135" s="50"/>
      <c r="C135" s="75"/>
      <c r="D135" s="51">
        <f>SUM(D129:D134)</f>
        <v>0</v>
      </c>
      <c r="E135" s="51"/>
      <c r="F135" s="68"/>
      <c r="G135" s="68"/>
      <c r="H135" s="51"/>
      <c r="I135" s="51"/>
      <c r="J135" s="52" t="str">
        <f>IF(D135=0,"",SUM(I129:I134)/(D135-SUMIF(E129:E134,"=I",D129:D134)-SUMIF(E129:E134,"=P",D129:D134)-SUMIF(E129:E134,"=R",D129:D134)-SUMIF(E129:E134,"=S",D129:D134)-SUMIF(E129:E134,"=W",D129:D134)-SUMIF(E129:E134,"=Z",D129:D134)-SUMIF(E129:E134,"=RP",D129:D134)))</f>
        <v/>
      </c>
      <c r="K135" s="52"/>
      <c r="L135" s="52" t="str">
        <f>IF(ISERR(SUM(I$93:I134)/(P135-SUMIF(E$93:E134,"=I",D$93:D134)-SUMIF(E$93:E134,"=P",D$93:D134)-SUMIF(E$93:E134,"=R",D$93:D134)-SUMIF(E$93:E134,"=S",D$93:D134)-SUMIF(E$93:E134,"=W",D$93:D134)-SUMIF(E$93:E134,"=Z",D$93:D134)-SUMIF(E$93:E134,"=RP",D$93:D134))),"",SUM(I$93:I134)/(P135-SUMIF(E$93:E134,"=I",D$93:D134)-SUMIF(E$93:E134,"=P",D$93:D134)-SUMIF(E$93:E134,"=R",D$93:D134)-SUMIF(E$93:E134,"=S",D$93:D134)-SUMIF(E$93:E134,"=W",D$93:D134)-SUMIF(E$93:E134,"=Z",D$93:D134)-SUMIF(E$93:E134,"=RP",D$93:D134)))</f>
        <v/>
      </c>
      <c r="M135" s="68"/>
      <c r="N135" s="68"/>
      <c r="O135" s="51"/>
      <c r="P135" s="51">
        <f>D135+P128</f>
        <v>0</v>
      </c>
      <c r="Q135" s="53"/>
      <c r="R135" s="91" t="str">
        <f t="shared" si="67"/>
        <v/>
      </c>
      <c r="S135" s="108" t="str">
        <f t="shared" si="61"/>
        <v/>
      </c>
      <c r="AH135" s="90"/>
      <c r="AJ135" s="90" t="s">
        <v>485</v>
      </c>
    </row>
    <row r="136" spans="1:36" x14ac:dyDescent="0.15">
      <c r="A136" s="9">
        <f t="shared" si="60"/>
        <v>44</v>
      </c>
      <c r="B136" s="76" t="str">
        <f>"SP "&amp;RIGHT(B93,2)+3</f>
        <v>SP 25</v>
      </c>
      <c r="C136" s="74"/>
      <c r="D136" s="74"/>
      <c r="E136" s="74"/>
      <c r="I136" s="9">
        <f>IF(D136="",0,D136*VLOOKUP(E136,'New SE'!AE$2:AF$32,2,0))</f>
        <v>0</v>
      </c>
      <c r="J136" s="49"/>
      <c r="K136" s="49"/>
      <c r="L136" s="49"/>
      <c r="Q136" s="9" t="str">
        <f t="shared" ref="Q136:Q141" si="69">IF(AND(ISERROR(MATCH(A136,$V$11:$V$50,0)),ISERROR(MATCH(A136,$W$11:$W$50,0))),"",IF(AND(ISERROR(MATCH(A136,$V$11:$V$50,0)),1-ISERROR(MATCH(A136,$W$11:$W$50,0))),VLOOKUP(MATCH(A136,$W$11:$W$50,0),W$52:Y$101,3,0),VLOOKUP(MATCH(A136,$V$11:$V$50,0),W$52:Y$101,2,0)))</f>
        <v/>
      </c>
      <c r="R136" s="91" t="str">
        <f t="shared" si="67"/>
        <v/>
      </c>
      <c r="S136" s="108" t="str">
        <f t="shared" si="61"/>
        <v/>
      </c>
      <c r="AH136" s="90"/>
      <c r="AJ136" s="90" t="s">
        <v>486</v>
      </c>
    </row>
    <row r="137" spans="1:36" x14ac:dyDescent="0.15">
      <c r="A137" s="9">
        <f t="shared" si="60"/>
        <v>45</v>
      </c>
      <c r="B137" s="1" t="str">
        <f>B$136</f>
        <v>SP 25</v>
      </c>
      <c r="C137" s="74"/>
      <c r="D137" s="74"/>
      <c r="E137" s="74"/>
      <c r="I137" s="9">
        <f>IF(D137="",0,D137*VLOOKUP(E137,'New SE'!AE$2:AF$32,2,0))</f>
        <v>0</v>
      </c>
      <c r="J137" s="49"/>
      <c r="K137" s="49"/>
      <c r="L137" s="49"/>
      <c r="Q137" s="9" t="str">
        <f t="shared" si="69"/>
        <v/>
      </c>
      <c r="R137" s="91" t="str">
        <f t="shared" si="67"/>
        <v/>
      </c>
      <c r="S137" s="108" t="str">
        <f t="shared" si="61"/>
        <v/>
      </c>
      <c r="AH137" s="90"/>
      <c r="AJ137" s="90" t="s">
        <v>487</v>
      </c>
    </row>
    <row r="138" spans="1:36" x14ac:dyDescent="0.15">
      <c r="A138" s="9">
        <f t="shared" si="60"/>
        <v>46</v>
      </c>
      <c r="B138" s="1" t="str">
        <f>B$136</f>
        <v>SP 25</v>
      </c>
      <c r="C138" s="74"/>
      <c r="D138" s="74"/>
      <c r="E138" s="74"/>
      <c r="I138" s="9">
        <f>IF(D138="",0,D138*VLOOKUP(E138,'New SE'!AE$2:AF$32,2,0))</f>
        <v>0</v>
      </c>
      <c r="J138" s="49"/>
      <c r="K138" s="49"/>
      <c r="L138" s="49"/>
      <c r="Q138" s="9" t="str">
        <f t="shared" si="69"/>
        <v/>
      </c>
      <c r="R138" s="91" t="str">
        <f t="shared" si="67"/>
        <v/>
      </c>
      <c r="S138" s="108" t="str">
        <f t="shared" si="61"/>
        <v/>
      </c>
      <c r="AH138" s="90"/>
      <c r="AJ138" s="90" t="s">
        <v>488</v>
      </c>
    </row>
    <row r="139" spans="1:36" x14ac:dyDescent="0.15">
      <c r="A139" s="9">
        <f t="shared" si="60"/>
        <v>47</v>
      </c>
      <c r="B139" s="1" t="str">
        <f>B$136</f>
        <v>SP 25</v>
      </c>
      <c r="C139" s="74"/>
      <c r="D139" s="74"/>
      <c r="E139" s="74"/>
      <c r="I139" s="9">
        <f>IF(D139="",0,D139*VLOOKUP(E139,'New SE'!AE$2:AF$32,2,0))</f>
        <v>0</v>
      </c>
      <c r="J139" s="49"/>
      <c r="K139" s="49"/>
      <c r="L139" s="49"/>
      <c r="Q139" s="9" t="str">
        <f t="shared" si="69"/>
        <v/>
      </c>
      <c r="R139" s="91" t="str">
        <f t="shared" si="67"/>
        <v/>
      </c>
      <c r="S139" s="108" t="str">
        <f t="shared" si="61"/>
        <v/>
      </c>
      <c r="AH139" s="90"/>
      <c r="AJ139" s="90" t="s">
        <v>489</v>
      </c>
    </row>
    <row r="140" spans="1:36" x14ac:dyDescent="0.15">
      <c r="A140" s="9">
        <f t="shared" si="60"/>
        <v>48</v>
      </c>
      <c r="B140" s="1" t="str">
        <f>B$136</f>
        <v>SP 25</v>
      </c>
      <c r="C140" s="73"/>
      <c r="D140" s="73"/>
      <c r="E140" s="73"/>
      <c r="I140" s="9">
        <f>IF(D140="",0,D140*VLOOKUP(E140,'New SE'!AE$2:AF$32,2,0))</f>
        <v>0</v>
      </c>
      <c r="J140" s="49"/>
      <c r="K140" s="49"/>
      <c r="L140" s="49"/>
      <c r="Q140" s="9" t="str">
        <f t="shared" si="69"/>
        <v/>
      </c>
      <c r="R140" s="91" t="str">
        <f t="shared" si="67"/>
        <v/>
      </c>
      <c r="S140" s="108" t="str">
        <f t="shared" si="61"/>
        <v/>
      </c>
      <c r="AH140" s="90"/>
      <c r="AJ140" s="90" t="s">
        <v>490</v>
      </c>
    </row>
    <row r="141" spans="1:36" ht="15" customHeight="1" thickBot="1" x14ac:dyDescent="0.2">
      <c r="A141" s="9">
        <f t="shared" si="60"/>
        <v>49</v>
      </c>
      <c r="B141" s="1" t="str">
        <f>B$136</f>
        <v>SP 25</v>
      </c>
      <c r="C141" s="73"/>
      <c r="D141" s="73"/>
      <c r="E141" s="73"/>
      <c r="I141" s="9">
        <f>IF(D141="",0,D141*VLOOKUP(E141,'New SE'!AE$2:AF$32,2,0))</f>
        <v>0</v>
      </c>
      <c r="J141" s="49"/>
      <c r="K141" s="49"/>
      <c r="L141" s="49"/>
      <c r="Q141" s="9" t="str">
        <f t="shared" si="69"/>
        <v/>
      </c>
      <c r="R141" s="91" t="str">
        <f t="shared" si="67"/>
        <v/>
      </c>
      <c r="S141" s="108" t="str">
        <f t="shared" si="61"/>
        <v/>
      </c>
      <c r="AH141" s="90"/>
      <c r="AJ141" s="90" t="s">
        <v>491</v>
      </c>
    </row>
    <row r="142" spans="1:36" ht="15" customHeight="1" thickBot="1" x14ac:dyDescent="0.2">
      <c r="A142" s="9">
        <f t="shared" si="60"/>
        <v>50</v>
      </c>
      <c r="B142" s="50"/>
      <c r="C142" s="75"/>
      <c r="D142" s="51">
        <f>SUM(D136:D141)</f>
        <v>0</v>
      </c>
      <c r="E142" s="51"/>
      <c r="F142" s="68"/>
      <c r="G142" s="68"/>
      <c r="H142" s="51"/>
      <c r="I142" s="51"/>
      <c r="J142" s="52" t="str">
        <f>IF(D142=0,"",SUM(I136:I141)/(D142-SUMIF(E136:E141,"=I",D136:D141)-SUMIF(E136:E141,"=P",D136:D141)-SUMIF(E136:E141,"=R",D136:D141)-SUMIF(E136:E141,"=S",D136:D141)-SUMIF(E136:E141,"=W",D136:D141)-SUMIF(E136:E141,"=Z",D136:D141)-SUMIF(E136:E141,"=RP",D136:D141)))</f>
        <v/>
      </c>
      <c r="K142" s="52"/>
      <c r="L142" s="52" t="str">
        <f>IF(ISERR(SUM(I$93:I141)/(P142-SUMIF(E$93:E141,"=I",D$93:D141)-SUMIF(E$93:E141,"=P",D$93:D141)-SUMIF(E$93:E141,"=R",D$93:D141)-SUMIF(E$93:E141,"=S",D$93:D141)-SUMIF(E$93:E141,"=W",D$93:D141)-SUMIF(E$93:E141,"=Z",D$93:D141)-SUMIF(E$93:E141,"=RP",D$93:D141))),"",SUM(I$93:I141)/(P142-SUMIF(E$93:E141,"=I",D$93:D141)-SUMIF(E$93:E141,"=P",D$93:D141)-SUMIF(E$93:E141,"=R",D$93:D141)-SUMIF(E$93:E141,"=S",D$93:D141)-SUMIF(E$93:E141,"=W",D$93:D141)-SUMIF(E$93:E141,"=Z",D$93:D141)-SUMIF(E$93:E141,"=RP",D$93:D141)))</f>
        <v/>
      </c>
      <c r="M142" s="68"/>
      <c r="N142" s="68"/>
      <c r="O142" s="51"/>
      <c r="P142" s="51">
        <f>D142+P135</f>
        <v>0</v>
      </c>
      <c r="Q142" s="53"/>
      <c r="R142" s="91" t="str">
        <f t="shared" si="67"/>
        <v/>
      </c>
      <c r="S142" s="108" t="str">
        <f t="shared" si="61"/>
        <v/>
      </c>
      <c r="AH142" s="90"/>
      <c r="AJ142" s="90" t="s">
        <v>492</v>
      </c>
    </row>
    <row r="143" spans="1:36" ht="15" customHeight="1" x14ac:dyDescent="0.15">
      <c r="A143" s="9">
        <f t="shared" si="60"/>
        <v>51</v>
      </c>
      <c r="B143" s="76" t="str">
        <f>"SU "&amp;RIGHT(B93,2)+3</f>
        <v>SU 25</v>
      </c>
      <c r="C143" s="74"/>
      <c r="D143" s="73"/>
      <c r="E143" s="74"/>
      <c r="I143" s="9">
        <f>IF(D143="",0,D143*VLOOKUP(E143,'New SE'!AE$2:AF$32,2,0))</f>
        <v>0</v>
      </c>
      <c r="J143" s="49"/>
      <c r="K143" s="49"/>
      <c r="L143" s="49"/>
      <c r="Q143" s="9" t="str">
        <f>IF(AND(ISERROR(MATCH(A143,$V$11:$V$50,0)),ISERROR(MATCH(A143,$W$11:$W$50,0))),"",IF(AND(ISERROR(MATCH(A143,$V$11:$V$50,0)),1-ISERROR(MATCH(A143,$W$11:$W$50,0))),VLOOKUP(MATCH(A143,$W$11:$W$50,0),W$52:Y$101,3,0),VLOOKUP(MATCH(A143,$V$11:$V$50,0),W$52:Y$101,2,0)))</f>
        <v/>
      </c>
      <c r="R143" s="91" t="str">
        <f t="shared" si="67"/>
        <v/>
      </c>
      <c r="S143" s="108" t="str">
        <f t="shared" si="61"/>
        <v/>
      </c>
      <c r="AH143" s="90"/>
      <c r="AJ143" s="90" t="s">
        <v>493</v>
      </c>
    </row>
    <row r="144" spans="1:36" x14ac:dyDescent="0.15">
      <c r="A144" s="9">
        <f t="shared" si="60"/>
        <v>52</v>
      </c>
      <c r="B144" s="1" t="str">
        <f>B143</f>
        <v>SU 25</v>
      </c>
      <c r="C144" s="74"/>
      <c r="D144" s="73"/>
      <c r="E144" s="74"/>
      <c r="I144" s="9">
        <f>IF(D144="",0,D144*VLOOKUP(E144,'New SE'!AE$2:AF$32,2,0))</f>
        <v>0</v>
      </c>
      <c r="J144" s="49"/>
      <c r="K144" s="49"/>
      <c r="L144" s="49"/>
      <c r="Q144" s="9" t="str">
        <f>IF(AND(ISERROR(MATCH(A144,$V$11:$V$50,0)),ISERROR(MATCH(A144,$W$11:$W$50,0))),"",IF(AND(ISERROR(MATCH(A144,$V$11:$V$50,0)),1-ISERROR(MATCH(A144,$W$11:$W$50,0))),VLOOKUP(MATCH(A144,$W$11:$W$50,0),W$52:Y$101,3,0),VLOOKUP(MATCH(A144,$V$11:$V$50,0),W$52:Y$101,2,0)))</f>
        <v/>
      </c>
      <c r="R144" s="91" t="str">
        <f t="shared" si="67"/>
        <v/>
      </c>
      <c r="S144" s="108" t="str">
        <f t="shared" si="61"/>
        <v/>
      </c>
      <c r="AH144" s="90"/>
      <c r="AJ144" s="90" t="s">
        <v>494</v>
      </c>
    </row>
    <row r="145" spans="1:37" ht="14" thickBot="1" x14ac:dyDescent="0.2">
      <c r="A145" s="9">
        <f t="shared" si="60"/>
        <v>53</v>
      </c>
      <c r="B145" s="1" t="str">
        <f>B143</f>
        <v>SU 25</v>
      </c>
      <c r="C145" s="73"/>
      <c r="D145" s="73"/>
      <c r="E145" s="73"/>
      <c r="I145" s="9">
        <f>IF(D145="",0,D145*VLOOKUP(E145,'New SE'!AE$2:AF$32,2,0))</f>
        <v>0</v>
      </c>
      <c r="J145" s="49"/>
      <c r="K145" s="49"/>
      <c r="L145" s="49"/>
      <c r="Q145" s="9" t="str">
        <f>IF(AND(ISERROR(MATCH(A145,$V$11:$V$50,0)),ISERROR(MATCH(A145,$W$11:$W$50,0))),"",IF(AND(ISERROR(MATCH(A145,$V$11:$V$50,0)),1-ISERROR(MATCH(A145,$W$11:$W$50,0))),VLOOKUP(MATCH(A145,$W$11:$W$50,0),W$52:Y$101,3,0),VLOOKUP(MATCH(A145,$V$11:$V$50,0),W$52:Y$101,2,0)))</f>
        <v/>
      </c>
      <c r="R145" s="91" t="str">
        <f t="shared" si="67"/>
        <v/>
      </c>
      <c r="S145" s="108" t="str">
        <f t="shared" si="61"/>
        <v/>
      </c>
      <c r="AH145" s="90"/>
      <c r="AJ145" s="90" t="s">
        <v>495</v>
      </c>
    </row>
    <row r="146" spans="1:37" ht="14" thickBot="1" x14ac:dyDescent="0.2">
      <c r="A146" s="9">
        <f t="shared" si="60"/>
        <v>54</v>
      </c>
      <c r="B146" s="50"/>
      <c r="C146" s="75"/>
      <c r="D146" s="51">
        <f>SUM(D143:D145)</f>
        <v>0</v>
      </c>
      <c r="E146" s="51"/>
      <c r="F146" s="68"/>
      <c r="G146" s="68"/>
      <c r="H146" s="51"/>
      <c r="I146" s="51"/>
      <c r="J146" s="52" t="str">
        <f>IF(D146=0,"",SUM(I143:I145)/(D146-SUMIF(E143:E145,"=I",D143:D145)-SUMIF(E143:E145,"=P",D143:D145)-SUMIF(E143:E145,"=R",D143:D145)-SUMIF(E143:E145,"=S",D143:D145)-SUMIF(E143:E145,"=W",D143:D145)-SUMIF(E143:E145,"=Z",D143:D145)-SUMIF(E143:E145,"=RP",D143:D145)))</f>
        <v/>
      </c>
      <c r="K146" s="52"/>
      <c r="L146" s="52" t="str">
        <f>IF(ISERR(SUM(I$93:I145)/(P146-SUMIF(E$93:E145,"=I",D$93:D145)-SUMIF(E$93:E145,"=P",D$93:D145)-SUMIF(E$93:E145,"=R",D$93:D145)-SUMIF(E$93:E145,"=S",D$93:D145)-SUMIF(E$93:E145,"=W",D$93:D145)-SUMIF(E$93:E145,"=Z",D$93:D145)-SUMIF(E$93:E145,"=RP",D$93:D145))),"",SUM(I$93:I145)/(P146-SUMIF(E$93:E145,"=I",D$93:D145)-SUMIF(E$93:E145,"=P",D$93:D145)-SUMIF(E$93:E145,"=R",D$93:D145)-SUMIF(E$93:E145,"=S",D$93:D145)-SUMIF(E$93:E145,"=W",D$93:D145)-SUMIF(E$93:E145,"=Z",D$93:D145)-SUMIF(E$93:E145,"=RP",D$93:D145)))</f>
        <v/>
      </c>
      <c r="M146" s="68"/>
      <c r="N146" s="68"/>
      <c r="O146" s="51"/>
      <c r="P146" s="51">
        <f>D146+P142</f>
        <v>0</v>
      </c>
      <c r="Q146" s="53"/>
      <c r="R146" s="91" t="str">
        <f t="shared" si="67"/>
        <v/>
      </c>
      <c r="S146" s="108" t="str">
        <f t="shared" si="61"/>
        <v/>
      </c>
      <c r="AJ146" s="90" t="s">
        <v>496</v>
      </c>
    </row>
    <row r="147" spans="1:37" x14ac:dyDescent="0.15">
      <c r="A147" s="9">
        <f t="shared" si="60"/>
        <v>55</v>
      </c>
      <c r="B147" s="45" t="str">
        <f>"FA "&amp;RIGHT(B93,2)+3</f>
        <v>FA 25</v>
      </c>
      <c r="C147" s="74"/>
      <c r="D147" s="73"/>
      <c r="E147" s="74"/>
      <c r="I147" s="9">
        <f>IF(D147="",0,D147*VLOOKUP(E147,'New SE'!AE$2:AF$32,2,0))</f>
        <v>0</v>
      </c>
      <c r="J147" s="49"/>
      <c r="K147" s="49"/>
      <c r="L147" s="49"/>
      <c r="Q147" s="9" t="str">
        <f t="shared" ref="Q147:Q152" si="70">IF(AND(ISERROR(MATCH(A147,$V$11:$V$50,0)),ISERROR(MATCH(A147,$W$11:$W$50,0))),"",IF(AND(ISERROR(MATCH(A147,$V$11:$V$50,0)),1-ISERROR(MATCH(A147,$W$11:$W$50,0))),VLOOKUP(MATCH(A147,$W$11:$W$50,0),W$52:Y$101,3,0),VLOOKUP(MATCH(A147,$V$11:$V$50,0),W$52:Y$101,2,0)))</f>
        <v/>
      </c>
      <c r="R147" s="91" t="str">
        <f t="shared" si="67"/>
        <v/>
      </c>
      <c r="S147" s="108" t="str">
        <f t="shared" si="61"/>
        <v/>
      </c>
      <c r="AJ147" s="90" t="s">
        <v>497</v>
      </c>
    </row>
    <row r="148" spans="1:37" x14ac:dyDescent="0.15">
      <c r="A148" s="9">
        <f t="shared" si="60"/>
        <v>56</v>
      </c>
      <c r="B148" s="9" t="str">
        <f>B$147</f>
        <v>FA 25</v>
      </c>
      <c r="C148" s="74"/>
      <c r="D148" s="73"/>
      <c r="E148" s="74"/>
      <c r="I148" s="9">
        <f>IF(D148="",0,D148*VLOOKUP(E148,'New SE'!AE$2:AF$32,2,0))</f>
        <v>0</v>
      </c>
      <c r="J148" s="49"/>
      <c r="K148" s="49"/>
      <c r="L148" s="49"/>
      <c r="Q148" s="9" t="str">
        <f t="shared" si="70"/>
        <v/>
      </c>
      <c r="R148" s="91" t="str">
        <f t="shared" si="67"/>
        <v/>
      </c>
      <c r="S148" s="108" t="str">
        <f t="shared" si="61"/>
        <v/>
      </c>
      <c r="AJ148" s="90" t="s">
        <v>498</v>
      </c>
    </row>
    <row r="149" spans="1:37" x14ac:dyDescent="0.15">
      <c r="A149" s="9">
        <f t="shared" si="60"/>
        <v>57</v>
      </c>
      <c r="B149" s="9" t="str">
        <f>B$147</f>
        <v>FA 25</v>
      </c>
      <c r="C149" s="74"/>
      <c r="D149" s="73"/>
      <c r="E149" s="74"/>
      <c r="I149" s="9">
        <f>IF(D149="",0,D149*VLOOKUP(E149,'New SE'!AE$2:AF$32,2,0))</f>
        <v>0</v>
      </c>
      <c r="J149" s="49"/>
      <c r="K149" s="49"/>
      <c r="L149" s="49"/>
      <c r="Q149" s="9" t="str">
        <f t="shared" si="70"/>
        <v/>
      </c>
      <c r="R149" s="91" t="str">
        <f t="shared" si="67"/>
        <v/>
      </c>
      <c r="S149" s="108" t="str">
        <f t="shared" si="61"/>
        <v/>
      </c>
      <c r="AJ149" s="90" t="s">
        <v>499</v>
      </c>
    </row>
    <row r="150" spans="1:37" x14ac:dyDescent="0.15">
      <c r="A150" s="9">
        <f t="shared" si="60"/>
        <v>58</v>
      </c>
      <c r="B150" s="9" t="str">
        <f>B$147</f>
        <v>FA 25</v>
      </c>
      <c r="C150" s="74"/>
      <c r="D150" s="73"/>
      <c r="E150" s="74"/>
      <c r="I150" s="9">
        <f>IF(D150="",0,D150*VLOOKUP(E150,'New SE'!AE$2:AF$32,2,0))</f>
        <v>0</v>
      </c>
      <c r="J150" s="49"/>
      <c r="K150" s="49"/>
      <c r="L150" s="49"/>
      <c r="Q150" s="9" t="str">
        <f t="shared" si="70"/>
        <v/>
      </c>
      <c r="R150" s="91" t="str">
        <f t="shared" si="67"/>
        <v/>
      </c>
      <c r="S150" s="108" t="str">
        <f t="shared" si="61"/>
        <v/>
      </c>
      <c r="AJ150" s="90" t="s">
        <v>500</v>
      </c>
    </row>
    <row r="151" spans="1:37" x14ac:dyDescent="0.15">
      <c r="A151" s="9">
        <f t="shared" si="60"/>
        <v>59</v>
      </c>
      <c r="B151" s="9" t="str">
        <f>B$147</f>
        <v>FA 25</v>
      </c>
      <c r="C151" s="74"/>
      <c r="D151" s="73"/>
      <c r="E151" s="74"/>
      <c r="I151" s="9">
        <f>IF(D151="",0,D151*VLOOKUP(E151,'New SE'!AE$2:AF$32,2,0))</f>
        <v>0</v>
      </c>
      <c r="J151" s="49"/>
      <c r="K151" s="49"/>
      <c r="L151" s="49"/>
      <c r="Q151" s="9" t="str">
        <f t="shared" si="70"/>
        <v/>
      </c>
      <c r="R151" s="91" t="str">
        <f t="shared" si="67"/>
        <v/>
      </c>
      <c r="S151" s="108" t="str">
        <f t="shared" si="61"/>
        <v/>
      </c>
      <c r="AJ151" s="90" t="s">
        <v>501</v>
      </c>
    </row>
    <row r="152" spans="1:37" ht="14" thickBot="1" x14ac:dyDescent="0.2">
      <c r="A152" s="9">
        <f t="shared" si="60"/>
        <v>60</v>
      </c>
      <c r="B152" s="9" t="str">
        <f>B$147</f>
        <v>FA 25</v>
      </c>
      <c r="C152" s="73"/>
      <c r="D152" s="73"/>
      <c r="E152" s="73"/>
      <c r="I152" s="9">
        <f>IF(D152="",0,D152*VLOOKUP(E152,'New SE'!AE$2:AF$32,2,0))</f>
        <v>0</v>
      </c>
      <c r="J152" s="49"/>
      <c r="K152" s="49"/>
      <c r="L152" s="49"/>
      <c r="Q152" s="9" t="str">
        <f t="shared" si="70"/>
        <v/>
      </c>
      <c r="R152" s="91" t="str">
        <f t="shared" si="67"/>
        <v/>
      </c>
      <c r="S152" s="108" t="str">
        <f t="shared" si="61"/>
        <v/>
      </c>
      <c r="AJ152" s="90" t="s">
        <v>502</v>
      </c>
      <c r="AK152" s="95"/>
    </row>
    <row r="153" spans="1:37" ht="14" thickBot="1" x14ac:dyDescent="0.2">
      <c r="A153" s="9">
        <f t="shared" si="60"/>
        <v>61</v>
      </c>
      <c r="B153" s="50"/>
      <c r="C153" s="75"/>
      <c r="D153" s="51">
        <f>SUM(D147:D152)</f>
        <v>0</v>
      </c>
      <c r="E153" s="51"/>
      <c r="F153" s="68"/>
      <c r="G153" s="68"/>
      <c r="H153" s="51"/>
      <c r="I153" s="51"/>
      <c r="J153" s="52" t="str">
        <f>IF(D153=0,"",SUM(I147:I152)/(D153-SUMIF(E147:E152,"=I",D147:D152)-SUMIF(E147:E152,"=P",D147:D152)-SUMIF(E147:E152,"=R",D147:D152)-SUMIF(E147:E152,"=S",D147:D152)-SUMIF(E147:E152,"=W",D147:D152)-SUMIF(E147:E152,"=Z",D147:D152)-SUMIF(E147:E152,"=RP",D147:D152)))</f>
        <v/>
      </c>
      <c r="K153" s="52"/>
      <c r="L153" s="52" t="str">
        <f>IF(ISERR(SUM(I$93:I152)/(P153-SUMIF(E$93:E152,"=I",D$93:D152)-SUMIF(E$93:E152,"=P",D$93:D152)-SUMIF(E$93:E152,"=R",D$93:D152)-SUMIF(E$93:E152,"=S",D$93:D152)-SUMIF(E$93:E152,"=W",D$93:D152)-SUMIF(E$93:E152,"=Z",D$93:D152)-SUMIF(E$93:E152,"=RP",D$93:D152))),"",SUM(I$93:I152)/(P153-SUMIF(E$93:E152,"=I",D$93:D152)-SUMIF(E$93:E152,"=P",D$93:D152)-SUMIF(E$93:E152,"=R",D$93:D152)-SUMIF(E$93:E152,"=S",D$93:D152)-SUMIF(E$93:E152,"=W",D$93:D152)-SUMIF(E$93:E152,"=Z",D$93:D152)-SUMIF(E$93:E152,"=RP",D$93:D152)))</f>
        <v/>
      </c>
      <c r="M153" s="68"/>
      <c r="N153" s="68"/>
      <c r="O153" s="51"/>
      <c r="P153" s="51">
        <f>D153+P146</f>
        <v>0</v>
      </c>
      <c r="Q153" s="53"/>
      <c r="R153" s="91" t="str">
        <f t="shared" si="67"/>
        <v/>
      </c>
      <c r="S153" s="108" t="str">
        <f t="shared" si="61"/>
        <v/>
      </c>
      <c r="AJ153" s="90" t="s">
        <v>503</v>
      </c>
    </row>
    <row r="154" spans="1:37" x14ac:dyDescent="0.15">
      <c r="A154" s="9">
        <f t="shared" si="60"/>
        <v>62</v>
      </c>
      <c r="B154" s="76" t="str">
        <f>"SP "&amp;RIGHT(B93,2)+4</f>
        <v>SP 26</v>
      </c>
      <c r="C154" s="74"/>
      <c r="D154" s="74"/>
      <c r="E154" s="74"/>
      <c r="I154" s="9">
        <f>IF(D154="",0,D154*VLOOKUP(E154,'New SE'!AE$2:AF$32,2,0))</f>
        <v>0</v>
      </c>
      <c r="J154" s="49"/>
      <c r="K154" s="49"/>
      <c r="L154" s="49"/>
      <c r="Q154" s="9" t="str">
        <f t="shared" ref="Q154:Q159" si="71">IF(AND(ISERROR(MATCH(A154,$V$11:$V$50,0)),ISERROR(MATCH(A154,$W$11:$W$50,0))),"",IF(AND(ISERROR(MATCH(A154,$V$11:$V$50,0)),1-ISERROR(MATCH(A154,$W$11:$W$50,0))),VLOOKUP(MATCH(A154,$W$11:$W$50,0),W$52:Y$101,3,0),VLOOKUP(MATCH(A154,$V$11:$V$50,0),W$52:Y$101,2,0)))</f>
        <v/>
      </c>
      <c r="R154" s="91" t="str">
        <f t="shared" si="67"/>
        <v/>
      </c>
      <c r="S154" s="108" t="str">
        <f t="shared" si="61"/>
        <v/>
      </c>
      <c r="AJ154" s="90" t="s">
        <v>504</v>
      </c>
    </row>
    <row r="155" spans="1:37" x14ac:dyDescent="0.15">
      <c r="A155" s="9">
        <f t="shared" si="60"/>
        <v>63</v>
      </c>
      <c r="B155" s="1" t="str">
        <f>B$154</f>
        <v>SP 26</v>
      </c>
      <c r="C155" s="74"/>
      <c r="D155" s="74"/>
      <c r="E155" s="74"/>
      <c r="I155" s="9">
        <f>IF(D155="",0,D155*VLOOKUP(E155,'New SE'!AE$2:AF$32,2,0))</f>
        <v>0</v>
      </c>
      <c r="J155" s="49"/>
      <c r="K155" s="49"/>
      <c r="L155" s="49"/>
      <c r="Q155" s="9" t="str">
        <f t="shared" si="71"/>
        <v/>
      </c>
      <c r="R155" s="91" t="str">
        <f t="shared" si="67"/>
        <v/>
      </c>
      <c r="S155" s="108" t="str">
        <f t="shared" si="61"/>
        <v/>
      </c>
      <c r="AJ155" s="90" t="s">
        <v>505</v>
      </c>
    </row>
    <row r="156" spans="1:37" x14ac:dyDescent="0.15">
      <c r="A156" s="9">
        <f t="shared" si="60"/>
        <v>64</v>
      </c>
      <c r="B156" s="1" t="str">
        <f>B$154</f>
        <v>SP 26</v>
      </c>
      <c r="C156" s="74"/>
      <c r="D156" s="74"/>
      <c r="E156" s="74"/>
      <c r="I156" s="9">
        <f>IF(D156="",0,D156*VLOOKUP(E156,'New SE'!AE$2:AF$32,2,0))</f>
        <v>0</v>
      </c>
      <c r="J156" s="49"/>
      <c r="K156" s="49"/>
      <c r="L156" s="49"/>
      <c r="Q156" s="9" t="str">
        <f t="shared" si="71"/>
        <v/>
      </c>
      <c r="R156" s="91" t="str">
        <f t="shared" si="67"/>
        <v/>
      </c>
      <c r="S156" s="108" t="str">
        <f t="shared" si="61"/>
        <v/>
      </c>
      <c r="AJ156" s="90" t="s">
        <v>506</v>
      </c>
    </row>
    <row r="157" spans="1:37" x14ac:dyDescent="0.15">
      <c r="A157" s="9">
        <f t="shared" si="60"/>
        <v>65</v>
      </c>
      <c r="B157" s="1" t="str">
        <f>B$154</f>
        <v>SP 26</v>
      </c>
      <c r="C157" s="74"/>
      <c r="D157" s="74"/>
      <c r="E157" s="74"/>
      <c r="I157" s="9">
        <f>IF(D157="",0,D157*VLOOKUP(E157,'New SE'!AE$2:AF$32,2,0))</f>
        <v>0</v>
      </c>
      <c r="J157" s="49"/>
      <c r="K157" s="49"/>
      <c r="L157" s="49"/>
      <c r="Q157" s="9" t="str">
        <f t="shared" si="71"/>
        <v/>
      </c>
      <c r="R157" s="91" t="str">
        <f t="shared" ref="R157:R164" si="72">IF(OR(Q157="",E157=""),"",1)</f>
        <v/>
      </c>
      <c r="S157" s="108" t="str">
        <f t="shared" si="61"/>
        <v/>
      </c>
      <c r="AD157" s="95"/>
      <c r="AJ157" s="90" t="s">
        <v>507</v>
      </c>
    </row>
    <row r="158" spans="1:37" x14ac:dyDescent="0.15">
      <c r="A158" s="9">
        <f t="shared" ref="A158:A163" si="73">A157+1</f>
        <v>66</v>
      </c>
      <c r="B158" s="1" t="str">
        <f>B$154</f>
        <v>SP 26</v>
      </c>
      <c r="C158" s="74"/>
      <c r="D158" s="74"/>
      <c r="E158" s="74"/>
      <c r="I158" s="9">
        <f>IF(D158="",0,D158*VLOOKUP(E158,'New SE'!AE$2:AF$32,2,0))</f>
        <v>0</v>
      </c>
      <c r="J158" s="49"/>
      <c r="K158" s="49"/>
      <c r="L158" s="49"/>
      <c r="Q158" s="9" t="str">
        <f t="shared" si="71"/>
        <v/>
      </c>
      <c r="R158" s="91" t="str">
        <f t="shared" si="72"/>
        <v/>
      </c>
      <c r="S158" s="108" t="str">
        <f t="shared" ref="S158:S164" si="74">IF(AND(R158=1,OR(COUNTIF($B$33:$B$36,"="&amp;C158)+COUNTIF($I$33:$I$36,"="&amp;C158)+COUNTIF($B$44:$B$46,"="&amp;C158)+COUNTIF($I$44:$I$45,"="&amp;C158)=1,AND(COUNTIF($C$37:$C$37,"="&amp;C158)+COUNTIF($J$37:$J$37,"="&amp;C158)+COUNTIF($C$47:$C$48,"="&amp;C158)+COUNTIF($J$46:$J$48,"="&amp;C158)=1,OR(ISNUMBER(MATCH(LEFT(C158,4),$AL$34:$AL$49,0)),ISNUMBER(MATCH(LEFT(C158,3),$AL$34:$AL$49,0)),ISNUMBER(MATCH(LEFT(C158,2),$AL$34:$AL$49,0)))))),1,"")</f>
        <v/>
      </c>
      <c r="AJ158" s="90" t="s">
        <v>508</v>
      </c>
    </row>
    <row r="159" spans="1:37" ht="14" thickBot="1" x14ac:dyDescent="0.2">
      <c r="A159" s="9">
        <f t="shared" si="73"/>
        <v>67</v>
      </c>
      <c r="B159" s="1" t="str">
        <f>B$154</f>
        <v>SP 26</v>
      </c>
      <c r="C159" s="74"/>
      <c r="D159" s="74"/>
      <c r="E159" s="74"/>
      <c r="I159" s="9">
        <f>IF(D159="",0,D159*VLOOKUP(E159,'New SE'!AE$2:AF$32,2,0))</f>
        <v>0</v>
      </c>
      <c r="J159" s="49"/>
      <c r="K159" s="49"/>
      <c r="L159" s="49"/>
      <c r="Q159" s="9" t="str">
        <f t="shared" si="71"/>
        <v/>
      </c>
      <c r="R159" s="91" t="str">
        <f t="shared" si="72"/>
        <v/>
      </c>
      <c r="S159" s="108" t="str">
        <f t="shared" si="74"/>
        <v/>
      </c>
      <c r="AJ159" s="90" t="s">
        <v>509</v>
      </c>
    </row>
    <row r="160" spans="1:37" ht="14" thickBot="1" x14ac:dyDescent="0.2">
      <c r="A160" s="9">
        <f t="shared" si="73"/>
        <v>68</v>
      </c>
      <c r="B160" s="50"/>
      <c r="C160" s="75"/>
      <c r="D160" s="51">
        <f>SUM(D154:D159)</f>
        <v>0</v>
      </c>
      <c r="E160" s="51"/>
      <c r="F160" s="68"/>
      <c r="G160" s="68"/>
      <c r="H160" s="51"/>
      <c r="I160" s="51"/>
      <c r="J160" s="52" t="str">
        <f>IF(D160=0,"",SUM(I154:I159)/(D160-SUMIF(E154:E159,"=I",D154:D159)-SUMIF(E154:E159,"=P",D154:D159)-SUMIF(E154:E159,"=R",D154:D159)-SUMIF(E154:E159,"=S",D154:D159)-SUMIF(E154:E159,"=W",D154:D159)-SUMIF(E154:E159,"=Z",D154:D159)-SUMIF(E154:E159,"=RP",D154:D159)))</f>
        <v/>
      </c>
      <c r="K160" s="52"/>
      <c r="L160" s="52" t="str">
        <f>IF(ISERR(SUM(I$93:I159)/(P160-SUMIF(E$93:E159,"=I",D$93:D159)-SUMIF(E$93:E159,"=P",D$93:D159)-SUMIF(E$93:E159,"=R",D$93:D159)-SUMIF(E$93:E159,"=S",D$93:D159)-SUMIF(E$93:E159,"=W",D$93:D159)-SUMIF(E$93:E159,"=Z",D$93:D159)-SUMIF(E$93:E159,"=RP",D$93:D159))),"",SUM(I$93:I159)/(P160-SUMIF(E$93:E159,"=I",D$93:D159)-SUMIF(E$93:E159,"=P",D$93:D159)-SUMIF(E$93:E159,"=R",D$93:D159)-SUMIF(E$93:E159,"=S",D$93:D159)-SUMIF(E$93:E159,"=W",D$93:D159)-SUMIF(E$93:E159,"=Z",D$93:D159)-SUMIF(E$93:E159,"=RP",D$93:D159)))</f>
        <v/>
      </c>
      <c r="M160" s="68"/>
      <c r="N160" s="68"/>
      <c r="O160" s="51"/>
      <c r="P160" s="51">
        <f>D160+P153</f>
        <v>0</v>
      </c>
      <c r="Q160" s="53"/>
      <c r="R160" s="91" t="str">
        <f t="shared" si="72"/>
        <v/>
      </c>
      <c r="S160" s="108" t="str">
        <f t="shared" si="74"/>
        <v/>
      </c>
      <c r="AJ160" s="90" t="s">
        <v>510</v>
      </c>
    </row>
    <row r="161" spans="1:38" x14ac:dyDescent="0.15">
      <c r="A161" s="9">
        <f t="shared" si="73"/>
        <v>69</v>
      </c>
      <c r="B161" s="76" t="str">
        <f>"SU "&amp;RIGHT(B93,2)+4</f>
        <v>SU 26</v>
      </c>
      <c r="C161" s="74"/>
      <c r="D161" s="74"/>
      <c r="E161" s="74"/>
      <c r="I161" s="9">
        <f>IF(D161="",0,D161*VLOOKUP(E161,'New SE'!AE$2:AF$32,2,0))</f>
        <v>0</v>
      </c>
      <c r="J161" s="49"/>
      <c r="K161" s="49"/>
      <c r="L161" s="49"/>
      <c r="Q161" s="9" t="str">
        <f>IF(AND(ISERROR(MATCH(A161,$V$11:$V$50,0)),ISERROR(MATCH(A161,$W$11:$W$50,0))),"",IF(AND(ISERROR(MATCH(A161,$V$11:$V$50,0)),1-ISERROR(MATCH(A161,$W$11:$W$50,0))),VLOOKUP(MATCH(A161,$W$11:$W$50,0),W$52:Y$101,3,0),VLOOKUP(MATCH(A161,$V$11:$V$50,0),W$52:Y$101,2,0)))</f>
        <v/>
      </c>
      <c r="R161" s="91" t="str">
        <f t="shared" si="72"/>
        <v/>
      </c>
      <c r="S161" s="108" t="str">
        <f t="shared" si="74"/>
        <v/>
      </c>
      <c r="AJ161" s="90" t="s">
        <v>511</v>
      </c>
    </row>
    <row r="162" spans="1:38" x14ac:dyDescent="0.15">
      <c r="A162" s="9">
        <f t="shared" si="73"/>
        <v>70</v>
      </c>
      <c r="B162" s="1" t="str">
        <f>B161</f>
        <v>SU 26</v>
      </c>
      <c r="C162" s="73"/>
      <c r="D162" s="73"/>
      <c r="E162" s="74"/>
      <c r="I162" s="9">
        <f>IF(D162="",0,D162*VLOOKUP(E162,'New SE'!AE$2:AF$32,2,0))</f>
        <v>0</v>
      </c>
      <c r="J162" s="49"/>
      <c r="K162" s="49"/>
      <c r="L162" s="49"/>
      <c r="Q162" s="9" t="str">
        <f>IF(AND(ISERROR(MATCH(A162,$V$11:$V$50,0)),ISERROR(MATCH(A162,$W$11:$W$50,0))),"",IF(AND(ISERROR(MATCH(A162,$V$11:$V$50,0)),1-ISERROR(MATCH(A162,$W$11:$W$50,0))),VLOOKUP(MATCH(A162,$W$11:$W$50,0),W$52:Y$101,3,0),VLOOKUP(MATCH(A162,$V$11:$V$50,0),W$52:Y$101,2,0)))</f>
        <v/>
      </c>
      <c r="R162" s="91" t="str">
        <f t="shared" si="72"/>
        <v/>
      </c>
      <c r="S162" s="108" t="str">
        <f t="shared" si="74"/>
        <v/>
      </c>
      <c r="AJ162" s="90" t="s">
        <v>512</v>
      </c>
    </row>
    <row r="163" spans="1:38" ht="14" thickBot="1" x14ac:dyDescent="0.2">
      <c r="A163" s="9">
        <f t="shared" si="73"/>
        <v>71</v>
      </c>
      <c r="B163" s="1" t="str">
        <f>B161</f>
        <v>SU 26</v>
      </c>
      <c r="C163" s="73"/>
      <c r="D163" s="73"/>
      <c r="E163" s="73"/>
      <c r="I163" s="9">
        <f>IF(D163="",0,D163*VLOOKUP(E163,'New SE'!AE$2:AF$32,2,0))</f>
        <v>0</v>
      </c>
      <c r="J163" s="49"/>
      <c r="K163" s="49"/>
      <c r="L163" s="49"/>
      <c r="Q163" s="9" t="str">
        <f>IF(AND(ISERROR(MATCH(A163,$V$11:$V$50,0)),ISERROR(MATCH(A163,$W$11:$W$50,0))),"",IF(AND(ISERROR(MATCH(A163,$V$11:$V$50,0)),1-ISERROR(MATCH(A163,$W$11:$W$50,0))),VLOOKUP(MATCH(A163,$W$11:$W$50,0),W$52:Y$101,3,0),VLOOKUP(MATCH(A163,$V$11:$V$50,0),W$52:Y$101,2,0)))</f>
        <v/>
      </c>
      <c r="R163" s="91" t="str">
        <f t="shared" si="72"/>
        <v/>
      </c>
      <c r="S163" s="108" t="str">
        <f t="shared" si="74"/>
        <v/>
      </c>
      <c r="AJ163" s="90" t="s">
        <v>513</v>
      </c>
    </row>
    <row r="164" spans="1:38" ht="14" thickBot="1" x14ac:dyDescent="0.2">
      <c r="A164" s="9">
        <f>A163+1</f>
        <v>72</v>
      </c>
      <c r="B164" s="50"/>
      <c r="C164" s="75"/>
      <c r="D164" s="51">
        <f>SUM(D161:D163)</f>
        <v>0</v>
      </c>
      <c r="E164" s="51"/>
      <c r="F164" s="68"/>
      <c r="G164" s="68"/>
      <c r="H164" s="51"/>
      <c r="I164" s="51"/>
      <c r="J164" s="52" t="str">
        <f>IF(D164=0,"",SUM(I161:I163)/(D164-SUMIF(E161:E163,"=I",D161:D163)-SUMIF(E161:E163,"=P",D161:D163)-SUMIF(E161:E163,"=R",D161:D163)-SUMIF(E161:E163,"=S",D161:D163)-SUMIF(E161:E163,"=W",D161:D163)-SUMIF(E161:E163,"=Z",D161:D163)-SUMIF(E161:E163,"=RP",D161:D163)))</f>
        <v/>
      </c>
      <c r="K164" s="52"/>
      <c r="L164" s="52" t="str">
        <f>IF(ISERR(SUM(I$93:I163)/(P164-SUMIF(E$93:E163,"=I",D$93:D163)-SUMIF(E$93:E163,"=P",D$93:D163)-SUMIF(E$93:E163,"=R",D$93:D163)-SUMIF(E$93:E163,"=S",D$93:D163)-SUMIF(E$93:E163,"=W",D$93:D163)-SUMIF(E$93:E163,"=Z",D$93:D163)-SUMIF(E$93:E163,"=RP",D$93:D163))),"",SUM(I$93:I163)/(P164-SUMIF(E$93:E163,"=I",D$93:D163)-SUMIF(E$93:E163,"=P",D$93:D163)-SUMIF(E$93:E163,"=R",D$93:D163)-SUMIF(E$93:E163,"=S",D$93:D163)-SUMIF(E$93:E163,"=W",D$93:D163)-SUMIF(E$93:E163,"=Z",D$93:D163)-SUMIF(E$93:E163,"=RP",D$93:D163)))</f>
        <v/>
      </c>
      <c r="M164" s="68"/>
      <c r="N164" s="68"/>
      <c r="O164" s="51"/>
      <c r="P164" s="51">
        <f>D164+P160</f>
        <v>0</v>
      </c>
      <c r="Q164" s="53"/>
      <c r="R164" s="91" t="str">
        <f t="shared" si="72"/>
        <v/>
      </c>
      <c r="S164" s="108" t="str">
        <f t="shared" si="74"/>
        <v/>
      </c>
      <c r="AJ164" s="90" t="s">
        <v>514</v>
      </c>
    </row>
    <row r="165" spans="1:38" x14ac:dyDescent="0.15">
      <c r="B165" s="76"/>
      <c r="C165" s="73"/>
      <c r="J165" s="49"/>
      <c r="K165" s="49"/>
      <c r="L165" s="49"/>
      <c r="R165" s="91"/>
      <c r="S165" s="91"/>
      <c r="AJ165" s="90" t="s">
        <v>515</v>
      </c>
    </row>
    <row r="166" spans="1:38" x14ac:dyDescent="0.15">
      <c r="B166" s="92" t="s">
        <v>610</v>
      </c>
      <c r="C166" s="73"/>
      <c r="J166" s="49"/>
      <c r="K166" s="49"/>
      <c r="L166" s="49"/>
      <c r="R166" s="91"/>
      <c r="S166" s="91"/>
      <c r="AJ166" s="90" t="s">
        <v>516</v>
      </c>
    </row>
    <row r="167" spans="1:38" x14ac:dyDescent="0.15">
      <c r="B167" s="76"/>
      <c r="C167" s="73"/>
      <c r="J167" s="49"/>
      <c r="K167" s="49"/>
      <c r="L167" s="49"/>
      <c r="R167" s="91"/>
      <c r="S167" s="91"/>
      <c r="AJ167" s="90" t="s">
        <v>517</v>
      </c>
    </row>
    <row r="168" spans="1:38" x14ac:dyDescent="0.15">
      <c r="B168" s="76"/>
      <c r="C168" s="73"/>
      <c r="J168" s="49"/>
      <c r="K168" s="49"/>
      <c r="L168" s="49"/>
      <c r="R168" s="91"/>
      <c r="S168" s="91"/>
      <c r="AJ168" s="90" t="s">
        <v>518</v>
      </c>
    </row>
    <row r="169" spans="1:38" x14ac:dyDescent="0.15">
      <c r="B169" s="76"/>
      <c r="C169" s="73"/>
      <c r="J169" s="49"/>
      <c r="K169" s="49"/>
      <c r="L169" s="49"/>
      <c r="R169" s="91"/>
      <c r="S169" s="91"/>
      <c r="AJ169" s="90" t="s">
        <v>519</v>
      </c>
      <c r="AK169" s="95"/>
      <c r="AL169" s="95"/>
    </row>
    <row r="170" spans="1:38" x14ac:dyDescent="0.15">
      <c r="B170" s="76"/>
      <c r="C170" s="73"/>
      <c r="J170" s="49"/>
      <c r="K170" s="49"/>
      <c r="L170" s="49"/>
      <c r="R170" s="91"/>
      <c r="S170" s="91"/>
      <c r="AJ170" s="90" t="s">
        <v>520</v>
      </c>
    </row>
    <row r="171" spans="1:38" x14ac:dyDescent="0.15">
      <c r="B171" s="76"/>
      <c r="C171" s="73"/>
      <c r="J171" s="49"/>
      <c r="K171" s="49"/>
      <c r="L171" s="49"/>
      <c r="R171" s="91"/>
      <c r="S171" s="91"/>
      <c r="AJ171" s="90" t="s">
        <v>521</v>
      </c>
    </row>
    <row r="172" spans="1:38" x14ac:dyDescent="0.15">
      <c r="B172" s="76"/>
      <c r="C172" s="73"/>
      <c r="J172" s="49"/>
      <c r="K172" s="49"/>
      <c r="L172" s="49"/>
      <c r="R172" s="91"/>
      <c r="S172" s="91"/>
      <c r="AJ172" s="90" t="s">
        <v>522</v>
      </c>
    </row>
    <row r="173" spans="1:38" x14ac:dyDescent="0.15">
      <c r="B173" s="76"/>
      <c r="C173" s="73"/>
      <c r="J173" s="49"/>
      <c r="K173" s="49"/>
      <c r="L173" s="49"/>
      <c r="R173" s="91"/>
      <c r="S173" s="91"/>
      <c r="AJ173" s="90" t="s">
        <v>524</v>
      </c>
    </row>
    <row r="174" spans="1:38" x14ac:dyDescent="0.15">
      <c r="B174" s="76"/>
      <c r="C174" s="73"/>
      <c r="J174" s="49"/>
      <c r="K174" s="49"/>
      <c r="L174" s="49"/>
      <c r="R174" s="91"/>
      <c r="S174" s="91"/>
      <c r="AJ174" s="90" t="s">
        <v>523</v>
      </c>
    </row>
    <row r="175" spans="1:38" x14ac:dyDescent="0.15">
      <c r="B175" s="76"/>
      <c r="C175" s="73"/>
      <c r="J175" s="49"/>
      <c r="K175" s="49"/>
      <c r="L175" s="49"/>
      <c r="R175" s="91"/>
      <c r="S175" s="91"/>
      <c r="AJ175" s="90" t="s">
        <v>525</v>
      </c>
    </row>
    <row r="176" spans="1:38" x14ac:dyDescent="0.15">
      <c r="B176" s="76"/>
      <c r="C176" s="73"/>
      <c r="J176" s="49"/>
      <c r="K176" s="49"/>
      <c r="L176" s="49"/>
      <c r="R176" s="91"/>
      <c r="S176" s="91"/>
      <c r="AJ176" s="90" t="s">
        <v>526</v>
      </c>
    </row>
    <row r="177" spans="2:36" x14ac:dyDescent="0.15">
      <c r="B177" s="76"/>
      <c r="C177" s="73"/>
      <c r="J177" s="49"/>
      <c r="K177" s="49"/>
      <c r="L177" s="49"/>
      <c r="R177" s="91"/>
      <c r="S177" s="91"/>
      <c r="AJ177" s="90" t="s">
        <v>527</v>
      </c>
    </row>
    <row r="178" spans="2:36" x14ac:dyDescent="0.15">
      <c r="B178" s="76"/>
      <c r="C178" s="73"/>
      <c r="J178" s="49"/>
      <c r="K178" s="49"/>
      <c r="L178" s="49"/>
      <c r="R178" s="91"/>
      <c r="S178" s="91"/>
      <c r="AJ178" s="90" t="s">
        <v>528</v>
      </c>
    </row>
    <row r="179" spans="2:36" x14ac:dyDescent="0.15">
      <c r="B179" s="76"/>
      <c r="C179" s="73"/>
      <c r="J179" s="49"/>
      <c r="K179" s="49"/>
      <c r="L179" s="49"/>
      <c r="AJ179" s="90" t="s">
        <v>529</v>
      </c>
    </row>
    <row r="180" spans="2:36" x14ac:dyDescent="0.15">
      <c r="B180" s="76"/>
      <c r="C180" s="73"/>
      <c r="J180" s="49"/>
      <c r="K180" s="49"/>
      <c r="L180" s="49"/>
      <c r="AJ180" s="90" t="s">
        <v>530</v>
      </c>
    </row>
    <row r="181" spans="2:36" x14ac:dyDescent="0.15">
      <c r="B181" s="76"/>
      <c r="C181" s="73"/>
      <c r="J181" s="49"/>
      <c r="K181" s="49"/>
      <c r="L181" s="49"/>
      <c r="AJ181" s="90" t="s">
        <v>531</v>
      </c>
    </row>
    <row r="182" spans="2:36" x14ac:dyDescent="0.15">
      <c r="B182" s="76"/>
      <c r="C182" s="73"/>
      <c r="J182" s="49"/>
      <c r="K182" s="49"/>
      <c r="L182" s="49"/>
      <c r="AJ182" s="90" t="s">
        <v>532</v>
      </c>
    </row>
    <row r="183" spans="2:36" x14ac:dyDescent="0.15">
      <c r="B183" s="76"/>
      <c r="C183" s="73"/>
      <c r="J183" s="49"/>
      <c r="K183" s="49"/>
      <c r="L183" s="49"/>
      <c r="AJ183" s="90" t="s">
        <v>533</v>
      </c>
    </row>
    <row r="184" spans="2:36" x14ac:dyDescent="0.15">
      <c r="B184" s="76"/>
      <c r="C184" s="73"/>
      <c r="J184" s="49"/>
      <c r="K184" s="49"/>
      <c r="L184" s="49"/>
      <c r="AJ184" s="90" t="s">
        <v>534</v>
      </c>
    </row>
    <row r="185" spans="2:36" x14ac:dyDescent="0.15">
      <c r="B185" s="76"/>
      <c r="C185" s="73"/>
      <c r="J185" s="49"/>
      <c r="K185" s="49"/>
      <c r="L185" s="49"/>
      <c r="AJ185" s="90" t="s">
        <v>535</v>
      </c>
    </row>
    <row r="186" spans="2:36" x14ac:dyDescent="0.15">
      <c r="B186" s="76"/>
      <c r="C186" s="73"/>
      <c r="J186" s="49"/>
      <c r="K186" s="49"/>
      <c r="L186" s="49"/>
      <c r="AJ186" s="90" t="s">
        <v>536</v>
      </c>
    </row>
    <row r="187" spans="2:36" x14ac:dyDescent="0.15">
      <c r="B187" s="76"/>
      <c r="C187" s="73"/>
      <c r="J187" s="49"/>
      <c r="K187" s="49"/>
      <c r="L187" s="49"/>
      <c r="AJ187" s="90" t="s">
        <v>537</v>
      </c>
    </row>
    <row r="188" spans="2:36" x14ac:dyDescent="0.15">
      <c r="B188" s="76"/>
      <c r="C188" s="73"/>
      <c r="J188" s="49"/>
      <c r="K188" s="49"/>
      <c r="L188" s="49"/>
      <c r="AJ188" s="90" t="s">
        <v>538</v>
      </c>
    </row>
    <row r="189" spans="2:36" x14ac:dyDescent="0.15">
      <c r="B189" s="76"/>
      <c r="C189" s="73"/>
      <c r="J189" s="49"/>
      <c r="K189" s="49"/>
      <c r="L189" s="49"/>
      <c r="AJ189" s="90" t="s">
        <v>539</v>
      </c>
    </row>
    <row r="190" spans="2:36" x14ac:dyDescent="0.15">
      <c r="B190" s="76"/>
      <c r="C190" s="73"/>
      <c r="J190" s="49"/>
      <c r="K190" s="49"/>
      <c r="L190" s="49"/>
      <c r="AJ190" s="90" t="s">
        <v>540</v>
      </c>
    </row>
    <row r="191" spans="2:36" x14ac:dyDescent="0.15">
      <c r="B191" s="76"/>
      <c r="C191" s="73"/>
      <c r="J191" s="49"/>
      <c r="K191" s="49"/>
      <c r="L191" s="49"/>
      <c r="AJ191" s="90" t="s">
        <v>541</v>
      </c>
    </row>
    <row r="192" spans="2:36" x14ac:dyDescent="0.15">
      <c r="B192" s="76"/>
      <c r="C192" s="73"/>
      <c r="J192" s="49"/>
      <c r="K192" s="49"/>
      <c r="L192" s="49"/>
      <c r="AJ192" s="90" t="s">
        <v>542</v>
      </c>
    </row>
    <row r="193" spans="2:37" x14ac:dyDescent="0.15">
      <c r="B193" s="76"/>
      <c r="C193" s="73"/>
      <c r="J193" s="49"/>
      <c r="K193" s="49"/>
      <c r="L193" s="49"/>
      <c r="AJ193" s="90" t="s">
        <v>543</v>
      </c>
    </row>
    <row r="194" spans="2:37" x14ac:dyDescent="0.15">
      <c r="B194" s="76"/>
      <c r="C194" s="73"/>
      <c r="J194" s="49"/>
      <c r="K194" s="49"/>
      <c r="L194" s="49"/>
      <c r="AJ194" s="90" t="s">
        <v>544</v>
      </c>
      <c r="AK194" s="95"/>
    </row>
    <row r="195" spans="2:37" x14ac:dyDescent="0.15">
      <c r="B195" s="76"/>
      <c r="C195" s="73"/>
      <c r="J195" s="49"/>
      <c r="K195" s="49"/>
      <c r="L195" s="49"/>
      <c r="AJ195" s="90" t="s">
        <v>545</v>
      </c>
    </row>
    <row r="196" spans="2:37" x14ac:dyDescent="0.15">
      <c r="B196" s="76"/>
      <c r="C196" s="73"/>
      <c r="J196" s="49"/>
      <c r="K196" s="49"/>
      <c r="L196" s="49"/>
      <c r="AJ196" s="90" t="s">
        <v>546</v>
      </c>
    </row>
    <row r="197" spans="2:37" x14ac:dyDescent="0.15">
      <c r="B197" s="76"/>
      <c r="C197" s="73"/>
      <c r="J197" s="49"/>
      <c r="K197" s="49"/>
      <c r="L197" s="49"/>
      <c r="AJ197" s="90" t="s">
        <v>547</v>
      </c>
    </row>
    <row r="198" spans="2:37" x14ac:dyDescent="0.15">
      <c r="B198" s="76"/>
      <c r="C198" s="73"/>
      <c r="J198" s="49"/>
      <c r="K198" s="49"/>
      <c r="L198" s="49"/>
      <c r="AJ198" s="90" t="s">
        <v>548</v>
      </c>
    </row>
    <row r="199" spans="2:37" x14ac:dyDescent="0.15">
      <c r="B199" s="76"/>
      <c r="C199" s="73"/>
      <c r="J199" s="49"/>
      <c r="K199" s="49"/>
      <c r="L199" s="49"/>
      <c r="AJ199" s="90" t="s">
        <v>549</v>
      </c>
    </row>
    <row r="200" spans="2:37" x14ac:dyDescent="0.15">
      <c r="B200" s="76"/>
      <c r="C200" s="73"/>
      <c r="J200" s="49"/>
      <c r="K200" s="49"/>
      <c r="L200" s="49"/>
      <c r="AJ200" s="90" t="s">
        <v>550</v>
      </c>
    </row>
    <row r="201" spans="2:37" x14ac:dyDescent="0.15">
      <c r="B201" s="76"/>
      <c r="C201" s="73"/>
      <c r="J201" s="49"/>
      <c r="K201" s="49"/>
      <c r="L201" s="49"/>
      <c r="AJ201" s="90" t="s">
        <v>551</v>
      </c>
    </row>
    <row r="202" spans="2:37" x14ac:dyDescent="0.15">
      <c r="B202" s="76"/>
      <c r="C202" s="73"/>
      <c r="J202" s="49"/>
      <c r="K202" s="49"/>
      <c r="L202" s="49"/>
      <c r="AJ202" s="90" t="s">
        <v>552</v>
      </c>
    </row>
    <row r="203" spans="2:37" x14ac:dyDescent="0.15">
      <c r="B203" s="76"/>
      <c r="C203" s="73"/>
      <c r="J203" s="49"/>
      <c r="K203" s="49"/>
      <c r="L203" s="49"/>
      <c r="AJ203" s="90" t="s">
        <v>553</v>
      </c>
    </row>
    <row r="204" spans="2:37" x14ac:dyDescent="0.15">
      <c r="B204" s="76"/>
      <c r="C204" s="73"/>
      <c r="J204" s="49"/>
      <c r="K204" s="49"/>
      <c r="L204" s="49"/>
      <c r="AJ204" s="90" t="s">
        <v>554</v>
      </c>
    </row>
    <row r="205" spans="2:37" x14ac:dyDescent="0.15">
      <c r="B205" s="76"/>
      <c r="C205" s="73"/>
      <c r="J205" s="49"/>
      <c r="K205" s="49"/>
      <c r="L205" s="49"/>
      <c r="AJ205" s="90" t="s">
        <v>555</v>
      </c>
    </row>
    <row r="206" spans="2:37" x14ac:dyDescent="0.15">
      <c r="B206" s="76"/>
      <c r="C206" s="73"/>
      <c r="J206" s="49"/>
      <c r="K206" s="49"/>
      <c r="L206" s="49"/>
      <c r="AJ206" s="90" t="s">
        <v>556</v>
      </c>
    </row>
    <row r="207" spans="2:37" x14ac:dyDescent="0.15">
      <c r="B207" s="76"/>
      <c r="C207" s="73"/>
      <c r="J207" s="49"/>
      <c r="K207" s="49"/>
      <c r="L207" s="49"/>
      <c r="AJ207" s="90" t="s">
        <v>557</v>
      </c>
    </row>
    <row r="208" spans="2:37" x14ac:dyDescent="0.15">
      <c r="B208" s="76"/>
      <c r="C208" s="73"/>
      <c r="J208" s="49"/>
      <c r="K208" s="49"/>
      <c r="L208" s="49"/>
      <c r="AJ208" s="90" t="s">
        <v>558</v>
      </c>
    </row>
    <row r="209" spans="2:38" x14ac:dyDescent="0.15">
      <c r="B209" s="76"/>
      <c r="C209" s="73"/>
      <c r="J209" s="49"/>
      <c r="K209" s="49"/>
      <c r="L209" s="49"/>
      <c r="AJ209" s="90" t="s">
        <v>559</v>
      </c>
    </row>
    <row r="210" spans="2:38" x14ac:dyDescent="0.15">
      <c r="B210" s="76"/>
      <c r="C210" s="73"/>
      <c r="J210" s="49"/>
      <c r="K210" s="49"/>
      <c r="L210" s="49"/>
      <c r="AJ210" s="90" t="s">
        <v>560</v>
      </c>
    </row>
    <row r="211" spans="2:38" x14ac:dyDescent="0.15">
      <c r="B211" s="76"/>
      <c r="C211" s="73"/>
      <c r="J211" s="49"/>
      <c r="K211" s="49"/>
      <c r="L211" s="49"/>
      <c r="AJ211" s="90" t="s">
        <v>561</v>
      </c>
      <c r="AL211" s="95"/>
    </row>
    <row r="212" spans="2:38" x14ac:dyDescent="0.15">
      <c r="B212" s="76"/>
      <c r="C212" s="73"/>
      <c r="J212" s="49"/>
      <c r="K212" s="49"/>
      <c r="L212" s="49"/>
      <c r="R212" s="91"/>
      <c r="S212" s="91"/>
      <c r="AJ212" s="90" t="s">
        <v>562</v>
      </c>
    </row>
    <row r="213" spans="2:38" x14ac:dyDescent="0.15">
      <c r="B213" s="76"/>
      <c r="C213" s="73"/>
      <c r="J213" s="49"/>
      <c r="K213" s="49"/>
      <c r="L213" s="49"/>
      <c r="R213" s="91"/>
      <c r="S213" s="91"/>
      <c r="AJ213" s="90" t="s">
        <v>563</v>
      </c>
    </row>
    <row r="214" spans="2:38" x14ac:dyDescent="0.15">
      <c r="B214" s="76"/>
      <c r="C214" s="73"/>
      <c r="J214" s="49"/>
      <c r="K214" s="49"/>
      <c r="L214" s="49"/>
      <c r="R214" s="91"/>
      <c r="S214" s="91"/>
      <c r="AJ214" s="90" t="s">
        <v>564</v>
      </c>
    </row>
    <row r="215" spans="2:38" x14ac:dyDescent="0.15">
      <c r="B215" s="76"/>
      <c r="C215" s="73"/>
      <c r="J215" s="49"/>
      <c r="K215" s="49"/>
      <c r="L215" s="49"/>
      <c r="R215" s="91"/>
      <c r="S215" s="91"/>
      <c r="AJ215" s="90" t="s">
        <v>565</v>
      </c>
    </row>
    <row r="216" spans="2:38" x14ac:dyDescent="0.15">
      <c r="B216" s="76"/>
      <c r="C216" s="73"/>
      <c r="J216" s="49"/>
      <c r="K216" s="49"/>
      <c r="L216" s="49"/>
      <c r="R216" s="91"/>
      <c r="S216" s="91"/>
      <c r="AJ216" s="90" t="s">
        <v>566</v>
      </c>
    </row>
    <row r="217" spans="2:38" x14ac:dyDescent="0.15">
      <c r="B217" s="76"/>
      <c r="C217" s="73"/>
      <c r="J217" s="49"/>
      <c r="K217" s="49"/>
      <c r="L217" s="49"/>
      <c r="R217" s="91"/>
      <c r="S217" s="91"/>
      <c r="AJ217" s="90" t="s">
        <v>567</v>
      </c>
    </row>
    <row r="218" spans="2:38" x14ac:dyDescent="0.15">
      <c r="B218" s="76"/>
      <c r="C218" s="73"/>
      <c r="J218" s="49"/>
      <c r="K218" s="49"/>
      <c r="L218" s="49"/>
      <c r="R218" s="91"/>
      <c r="S218" s="91"/>
      <c r="AJ218" s="90" t="s">
        <v>568</v>
      </c>
    </row>
    <row r="219" spans="2:38" x14ac:dyDescent="0.15">
      <c r="B219" s="76"/>
      <c r="C219" s="73"/>
      <c r="J219" s="49"/>
      <c r="K219" s="49"/>
      <c r="L219" s="49"/>
      <c r="R219" s="91"/>
      <c r="S219" s="91"/>
      <c r="AJ219" s="90" t="s">
        <v>569</v>
      </c>
    </row>
    <row r="220" spans="2:38" x14ac:dyDescent="0.15">
      <c r="B220" s="76"/>
      <c r="C220" s="73"/>
      <c r="J220" s="49"/>
      <c r="K220" s="49"/>
      <c r="L220" s="49"/>
      <c r="R220" s="91"/>
      <c r="S220" s="91"/>
      <c r="AJ220" s="90" t="s">
        <v>570</v>
      </c>
    </row>
    <row r="221" spans="2:38" x14ac:dyDescent="0.15">
      <c r="B221" s="76"/>
      <c r="C221" s="73"/>
      <c r="J221" s="49"/>
      <c r="K221" s="49"/>
      <c r="L221" s="49"/>
      <c r="R221" s="91"/>
      <c r="S221" s="91"/>
      <c r="AJ221" s="90" t="s">
        <v>571</v>
      </c>
    </row>
    <row r="222" spans="2:38" x14ac:dyDescent="0.15">
      <c r="B222" s="76"/>
      <c r="C222" s="73"/>
      <c r="J222" s="49"/>
      <c r="K222" s="49"/>
      <c r="L222" s="49"/>
      <c r="R222" s="91"/>
      <c r="S222" s="91"/>
      <c r="AJ222" s="90" t="s">
        <v>572</v>
      </c>
    </row>
    <row r="223" spans="2:38" x14ac:dyDescent="0.15">
      <c r="B223" s="76"/>
      <c r="C223" s="73"/>
      <c r="J223" s="49"/>
      <c r="K223" s="49"/>
      <c r="L223" s="49"/>
      <c r="R223" s="91"/>
      <c r="S223" s="91"/>
      <c r="AJ223" s="90" t="s">
        <v>573</v>
      </c>
    </row>
    <row r="224" spans="2:38" x14ac:dyDescent="0.15">
      <c r="B224" s="76"/>
      <c r="C224" s="73"/>
      <c r="J224" s="49"/>
      <c r="K224" s="49"/>
      <c r="L224" s="49"/>
      <c r="R224" s="91"/>
      <c r="S224" s="91"/>
      <c r="AJ224" s="90" t="s">
        <v>574</v>
      </c>
    </row>
    <row r="225" spans="2:38" x14ac:dyDescent="0.15">
      <c r="B225" s="76"/>
      <c r="C225" s="73"/>
      <c r="J225" s="49"/>
      <c r="K225" s="49"/>
      <c r="L225" s="49"/>
      <c r="R225" s="91"/>
      <c r="S225" s="91"/>
      <c r="AJ225" s="90" t="s">
        <v>575</v>
      </c>
    </row>
    <row r="226" spans="2:38" x14ac:dyDescent="0.15">
      <c r="B226" s="76"/>
      <c r="C226" s="73"/>
      <c r="J226" s="49"/>
      <c r="K226" s="49"/>
      <c r="L226" s="49"/>
      <c r="R226" s="91"/>
      <c r="S226" s="91"/>
      <c r="AJ226" s="90" t="s">
        <v>577</v>
      </c>
    </row>
    <row r="227" spans="2:38" x14ac:dyDescent="0.15">
      <c r="B227" s="76"/>
      <c r="C227" s="73"/>
      <c r="J227" s="49"/>
      <c r="K227" s="49"/>
      <c r="L227" s="49"/>
      <c r="R227" s="91"/>
      <c r="S227" s="91"/>
      <c r="AJ227" s="90" t="s">
        <v>576</v>
      </c>
      <c r="AL227" s="95"/>
    </row>
    <row r="228" spans="2:38" x14ac:dyDescent="0.15">
      <c r="B228" s="76"/>
      <c r="C228" s="73"/>
      <c r="J228" s="49"/>
      <c r="K228" s="49"/>
      <c r="L228" s="49"/>
      <c r="R228" s="91"/>
      <c r="S228" s="91"/>
      <c r="AJ228" s="90" t="s">
        <v>578</v>
      </c>
    </row>
    <row r="229" spans="2:38" x14ac:dyDescent="0.15">
      <c r="B229" s="76"/>
      <c r="C229" s="73"/>
      <c r="J229" s="49"/>
      <c r="K229" s="49"/>
      <c r="L229" s="49"/>
      <c r="R229" s="91"/>
      <c r="S229" s="91"/>
      <c r="AJ229" s="90" t="s">
        <v>579</v>
      </c>
    </row>
    <row r="230" spans="2:38" x14ac:dyDescent="0.15">
      <c r="B230" s="76"/>
      <c r="C230" s="73"/>
      <c r="J230" s="49"/>
      <c r="K230" s="49"/>
      <c r="L230" s="49"/>
      <c r="R230" s="91"/>
      <c r="S230" s="91"/>
      <c r="AJ230" s="90" t="s">
        <v>580</v>
      </c>
    </row>
    <row r="231" spans="2:38" x14ac:dyDescent="0.15">
      <c r="B231" s="76"/>
      <c r="C231" s="73"/>
      <c r="J231" s="49"/>
      <c r="K231" s="49"/>
      <c r="L231" s="49"/>
      <c r="R231" s="91"/>
      <c r="S231" s="91"/>
      <c r="AJ231" s="90" t="s">
        <v>581</v>
      </c>
    </row>
    <row r="232" spans="2:38" x14ac:dyDescent="0.15">
      <c r="B232" s="76"/>
      <c r="C232" s="73"/>
      <c r="J232" s="49"/>
      <c r="K232" s="49"/>
      <c r="L232" s="49"/>
      <c r="R232" s="91"/>
      <c r="S232" s="91"/>
      <c r="AJ232" s="90" t="s">
        <v>582</v>
      </c>
    </row>
    <row r="233" spans="2:38" x14ac:dyDescent="0.15">
      <c r="B233" s="76"/>
      <c r="C233" s="73"/>
      <c r="J233" s="49"/>
      <c r="K233" s="49"/>
      <c r="L233" s="49"/>
      <c r="R233" s="91"/>
      <c r="S233" s="91"/>
      <c r="AJ233" s="90" t="s">
        <v>583</v>
      </c>
      <c r="AL233" s="95"/>
    </row>
    <row r="234" spans="2:38" x14ac:dyDescent="0.15">
      <c r="B234" s="76"/>
      <c r="C234" s="73"/>
      <c r="J234" s="49"/>
      <c r="K234" s="49"/>
      <c r="L234" s="49"/>
      <c r="R234" s="91"/>
      <c r="S234" s="91"/>
      <c r="AJ234" s="90" t="s">
        <v>584</v>
      </c>
    </row>
    <row r="235" spans="2:38" x14ac:dyDescent="0.15">
      <c r="B235" s="76"/>
      <c r="C235" s="73"/>
      <c r="J235" s="49"/>
      <c r="K235" s="49"/>
      <c r="L235" s="49"/>
      <c r="R235" s="91"/>
      <c r="S235" s="91"/>
      <c r="AJ235" s="90" t="s">
        <v>585</v>
      </c>
    </row>
    <row r="236" spans="2:38" x14ac:dyDescent="0.15">
      <c r="B236" s="76"/>
      <c r="C236" s="73"/>
      <c r="J236" s="49"/>
      <c r="K236" s="49"/>
      <c r="L236" s="49"/>
      <c r="R236" s="91"/>
      <c r="S236" s="91"/>
      <c r="AJ236" s="90" t="s">
        <v>586</v>
      </c>
    </row>
    <row r="237" spans="2:38" x14ac:dyDescent="0.15">
      <c r="B237" s="76"/>
      <c r="C237" s="73"/>
      <c r="J237" s="49"/>
      <c r="K237" s="49"/>
      <c r="L237" s="49"/>
      <c r="R237" s="91"/>
      <c r="S237" s="91"/>
      <c r="AJ237" s="90" t="s">
        <v>587</v>
      </c>
    </row>
    <row r="238" spans="2:38" x14ac:dyDescent="0.15">
      <c r="B238" s="76"/>
      <c r="C238" s="73"/>
      <c r="J238" s="49"/>
      <c r="K238" s="49"/>
      <c r="L238" s="49"/>
      <c r="R238" s="91"/>
      <c r="S238" s="91"/>
      <c r="AJ238" s="90" t="s">
        <v>588</v>
      </c>
    </row>
    <row r="239" spans="2:38" x14ac:dyDescent="0.15">
      <c r="B239" s="76"/>
      <c r="C239" s="73"/>
      <c r="J239" s="49"/>
      <c r="K239" s="49"/>
      <c r="L239" s="49"/>
      <c r="R239" s="91"/>
      <c r="S239" s="91"/>
      <c r="AJ239" s="90" t="s">
        <v>589</v>
      </c>
    </row>
    <row r="240" spans="2:38" x14ac:dyDescent="0.15">
      <c r="B240" s="76"/>
      <c r="C240" s="73"/>
      <c r="J240" s="49"/>
      <c r="K240" s="49"/>
      <c r="L240" s="49"/>
      <c r="R240" s="91"/>
      <c r="S240" s="91"/>
      <c r="AJ240" s="90" t="s">
        <v>590</v>
      </c>
    </row>
    <row r="241" spans="2:36" x14ac:dyDescent="0.15">
      <c r="B241" s="76"/>
      <c r="C241" s="73"/>
      <c r="J241" s="49"/>
      <c r="K241" s="49"/>
      <c r="L241" s="49"/>
      <c r="R241" s="91"/>
      <c r="S241" s="91"/>
      <c r="AJ241" s="90" t="s">
        <v>591</v>
      </c>
    </row>
    <row r="242" spans="2:36" x14ac:dyDescent="0.15">
      <c r="B242" s="76"/>
      <c r="C242" s="73"/>
      <c r="J242" s="49"/>
      <c r="K242" s="49"/>
      <c r="L242" s="49"/>
      <c r="R242" s="91"/>
      <c r="S242" s="91"/>
      <c r="AJ242" s="90" t="s">
        <v>592</v>
      </c>
    </row>
    <row r="243" spans="2:36" x14ac:dyDescent="0.15">
      <c r="B243" s="76"/>
      <c r="C243" s="73"/>
      <c r="J243" s="49"/>
      <c r="K243" s="49"/>
      <c r="L243" s="49"/>
      <c r="R243" s="91"/>
      <c r="S243" s="91"/>
    </row>
    <row r="244" spans="2:36" x14ac:dyDescent="0.15">
      <c r="B244" s="76"/>
      <c r="C244" s="73"/>
      <c r="J244" s="49"/>
      <c r="K244" s="49"/>
      <c r="L244" s="49"/>
      <c r="R244" s="91"/>
      <c r="S244" s="91"/>
    </row>
    <row r="245" spans="2:36" x14ac:dyDescent="0.15">
      <c r="B245" s="76"/>
      <c r="C245" s="73"/>
      <c r="J245" s="49"/>
      <c r="K245" s="49"/>
      <c r="L245" s="49"/>
      <c r="R245" s="91"/>
      <c r="S245" s="91"/>
    </row>
    <row r="246" spans="2:36" x14ac:dyDescent="0.15">
      <c r="B246" s="76"/>
      <c r="C246" s="73"/>
      <c r="J246" s="49"/>
      <c r="K246" s="49"/>
      <c r="L246" s="49"/>
      <c r="R246" s="91"/>
      <c r="S246" s="91"/>
    </row>
    <row r="247" spans="2:36" x14ac:dyDescent="0.15">
      <c r="B247" s="76"/>
      <c r="C247" s="73"/>
      <c r="J247" s="49"/>
      <c r="K247" s="49"/>
      <c r="L247" s="49"/>
      <c r="R247" s="91"/>
      <c r="S247" s="91"/>
    </row>
    <row r="248" spans="2:36" x14ac:dyDescent="0.15">
      <c r="B248" s="76"/>
      <c r="C248" s="73"/>
      <c r="J248" s="49"/>
      <c r="K248" s="49"/>
      <c r="L248" s="49"/>
      <c r="R248" s="91"/>
      <c r="S248" s="91"/>
    </row>
    <row r="249" spans="2:36" x14ac:dyDescent="0.15">
      <c r="B249" s="76"/>
      <c r="C249" s="73"/>
      <c r="J249" s="49"/>
      <c r="K249" s="49"/>
      <c r="L249" s="49"/>
      <c r="R249" s="91"/>
      <c r="S249" s="91"/>
    </row>
    <row r="250" spans="2:36" x14ac:dyDescent="0.15">
      <c r="B250" s="76"/>
      <c r="C250" s="73"/>
      <c r="J250" s="49"/>
      <c r="K250" s="49"/>
      <c r="L250" s="49"/>
      <c r="R250" s="91"/>
      <c r="S250" s="91"/>
    </row>
    <row r="251" spans="2:36" x14ac:dyDescent="0.15">
      <c r="B251" s="76"/>
      <c r="C251" s="73"/>
      <c r="J251" s="49"/>
      <c r="K251" s="49"/>
      <c r="L251" s="49"/>
      <c r="R251" s="91"/>
      <c r="S251" s="91"/>
    </row>
    <row r="252" spans="2:36" x14ac:dyDescent="0.15">
      <c r="B252" s="76"/>
      <c r="C252" s="73"/>
      <c r="J252" s="49"/>
      <c r="K252" s="49"/>
      <c r="L252" s="49"/>
      <c r="R252" s="91"/>
      <c r="S252" s="91"/>
    </row>
    <row r="253" spans="2:36" x14ac:dyDescent="0.15">
      <c r="B253" s="76"/>
      <c r="C253" s="73"/>
      <c r="J253" s="49"/>
      <c r="K253" s="49"/>
      <c r="L253" s="49"/>
      <c r="R253" s="91"/>
      <c r="S253" s="91"/>
    </row>
    <row r="254" spans="2:36" x14ac:dyDescent="0.15">
      <c r="B254" s="76"/>
      <c r="C254" s="73"/>
      <c r="J254" s="49"/>
      <c r="K254" s="49"/>
      <c r="L254" s="49"/>
      <c r="R254" s="91"/>
      <c r="S254" s="91"/>
    </row>
    <row r="255" spans="2:36" x14ac:dyDescent="0.15">
      <c r="B255" s="76"/>
      <c r="C255" s="73"/>
      <c r="J255" s="49"/>
      <c r="K255" s="49"/>
      <c r="L255" s="49"/>
      <c r="R255" s="91"/>
      <c r="S255" s="91"/>
    </row>
    <row r="256" spans="2:36" x14ac:dyDescent="0.15">
      <c r="B256" s="76"/>
      <c r="C256" s="73"/>
      <c r="J256" s="49"/>
      <c r="K256" s="49"/>
      <c r="L256" s="49"/>
      <c r="R256" s="91"/>
      <c r="S256" s="91"/>
    </row>
    <row r="257" spans="2:19" x14ac:dyDescent="0.15">
      <c r="B257" s="76"/>
      <c r="C257" s="73"/>
      <c r="J257" s="49"/>
      <c r="K257" s="49"/>
      <c r="L257" s="49"/>
      <c r="R257" s="91"/>
      <c r="S257" s="91"/>
    </row>
    <row r="258" spans="2:19" x14ac:dyDescent="0.15">
      <c r="B258" s="76"/>
      <c r="C258" s="73"/>
      <c r="J258" s="49"/>
      <c r="K258" s="49"/>
      <c r="L258" s="49"/>
      <c r="R258" s="91"/>
      <c r="S258" s="91"/>
    </row>
    <row r="259" spans="2:19" x14ac:dyDescent="0.15">
      <c r="B259" s="76"/>
      <c r="C259" s="73"/>
      <c r="J259" s="49"/>
      <c r="K259" s="49"/>
      <c r="L259" s="49"/>
      <c r="R259" s="91"/>
      <c r="S259" s="91"/>
    </row>
    <row r="260" spans="2:19" x14ac:dyDescent="0.15">
      <c r="B260" s="76"/>
      <c r="C260" s="73"/>
      <c r="J260" s="49"/>
      <c r="K260" s="49"/>
      <c r="L260" s="49"/>
      <c r="R260" s="91"/>
      <c r="S260" s="91"/>
    </row>
    <row r="261" spans="2:19" x14ac:dyDescent="0.15">
      <c r="B261" s="76"/>
      <c r="C261" s="73"/>
      <c r="J261" s="49"/>
      <c r="K261" s="49"/>
      <c r="L261" s="49"/>
      <c r="R261" s="91"/>
      <c r="S261" s="91"/>
    </row>
    <row r="262" spans="2:19" x14ac:dyDescent="0.15">
      <c r="B262" s="76"/>
      <c r="C262" s="73"/>
      <c r="J262" s="49"/>
      <c r="K262" s="49"/>
      <c r="L262" s="49"/>
      <c r="R262" s="91"/>
      <c r="S262" s="91"/>
    </row>
    <row r="263" spans="2:19" x14ac:dyDescent="0.15">
      <c r="B263" s="76"/>
      <c r="C263" s="73"/>
      <c r="J263" s="49"/>
      <c r="K263" s="49"/>
      <c r="L263" s="49"/>
      <c r="R263" s="91"/>
      <c r="S263" s="91"/>
    </row>
    <row r="264" spans="2:19" x14ac:dyDescent="0.15">
      <c r="B264" s="76"/>
      <c r="C264" s="73"/>
      <c r="J264" s="49"/>
      <c r="K264" s="49"/>
      <c r="L264" s="49"/>
      <c r="R264" s="91"/>
      <c r="S264" s="91"/>
    </row>
    <row r="265" spans="2:19" x14ac:dyDescent="0.15">
      <c r="B265" s="76"/>
      <c r="C265" s="73"/>
      <c r="J265" s="49"/>
      <c r="K265" s="49"/>
      <c r="L265" s="49"/>
      <c r="R265" s="91"/>
      <c r="S265" s="91"/>
    </row>
    <row r="266" spans="2:19" x14ac:dyDescent="0.15">
      <c r="B266" s="76"/>
      <c r="C266" s="73"/>
      <c r="J266" s="49"/>
      <c r="K266" s="49"/>
      <c r="L266" s="49"/>
      <c r="R266" s="91"/>
      <c r="S266" s="91"/>
    </row>
    <row r="267" spans="2:19" x14ac:dyDescent="0.15">
      <c r="B267" s="76"/>
      <c r="C267" s="73"/>
      <c r="J267" s="49"/>
      <c r="K267" s="49"/>
      <c r="L267" s="49"/>
      <c r="R267" s="91"/>
      <c r="S267" s="91"/>
    </row>
    <row r="268" spans="2:19" x14ac:dyDescent="0.15">
      <c r="B268" s="76"/>
      <c r="C268" s="73"/>
      <c r="J268" s="49"/>
      <c r="K268" s="49"/>
      <c r="L268" s="49"/>
      <c r="R268" s="91"/>
      <c r="S268" s="91"/>
    </row>
    <row r="269" spans="2:19" x14ac:dyDescent="0.15">
      <c r="R269" s="91"/>
      <c r="S269" s="91"/>
    </row>
    <row r="270" spans="2:19" x14ac:dyDescent="0.15">
      <c r="R270" s="91"/>
      <c r="S270" s="91"/>
    </row>
    <row r="271" spans="2:19" x14ac:dyDescent="0.15">
      <c r="R271" s="91"/>
      <c r="S271" s="91"/>
    </row>
    <row r="272" spans="2:19" x14ac:dyDescent="0.15">
      <c r="R272" s="91"/>
      <c r="S272" s="91"/>
    </row>
    <row r="273" spans="18:19" x14ac:dyDescent="0.15">
      <c r="R273" s="91"/>
      <c r="S273" s="91"/>
    </row>
    <row r="274" spans="18:19" x14ac:dyDescent="0.15">
      <c r="R274" s="91"/>
      <c r="S274" s="91"/>
    </row>
    <row r="275" spans="18:19" x14ac:dyDescent="0.15">
      <c r="R275" s="91"/>
      <c r="S275" s="91"/>
    </row>
    <row r="276" spans="18:19" x14ac:dyDescent="0.15">
      <c r="R276" s="91"/>
      <c r="S276" s="91"/>
    </row>
    <row r="277" spans="18:19" x14ac:dyDescent="0.15">
      <c r="R277" s="91"/>
      <c r="S277" s="91"/>
    </row>
    <row r="278" spans="18:19" x14ac:dyDescent="0.15">
      <c r="R278" s="91"/>
      <c r="S278" s="91"/>
    </row>
    <row r="279" spans="18:19" x14ac:dyDescent="0.15">
      <c r="R279" s="91"/>
      <c r="S279" s="91"/>
    </row>
    <row r="280" spans="18:19" x14ac:dyDescent="0.15">
      <c r="R280" s="91"/>
      <c r="S280" s="91"/>
    </row>
    <row r="281" spans="18:19" x14ac:dyDescent="0.15">
      <c r="R281" s="91"/>
      <c r="S281" s="91"/>
    </row>
    <row r="282" spans="18:19" x14ac:dyDescent="0.15">
      <c r="R282" s="91"/>
      <c r="S282" s="91"/>
    </row>
    <row r="283" spans="18:19" x14ac:dyDescent="0.15">
      <c r="R283" s="91"/>
      <c r="S283" s="91"/>
    </row>
    <row r="284" spans="18:19" x14ac:dyDescent="0.15">
      <c r="R284" s="91"/>
      <c r="S284" s="91"/>
    </row>
    <row r="285" spans="18:19" x14ac:dyDescent="0.15">
      <c r="R285" s="91"/>
      <c r="S285" s="91"/>
    </row>
    <row r="286" spans="18:19" x14ac:dyDescent="0.15">
      <c r="R286" s="91"/>
      <c r="S286" s="91"/>
    </row>
    <row r="287" spans="18:19" x14ac:dyDescent="0.15">
      <c r="R287" s="91"/>
      <c r="S287" s="91"/>
    </row>
    <row r="288" spans="18:19" x14ac:dyDescent="0.15">
      <c r="R288" s="91"/>
      <c r="S288" s="91"/>
    </row>
    <row r="289" spans="2:19" x14ac:dyDescent="0.15">
      <c r="R289" s="91"/>
      <c r="S289" s="91"/>
    </row>
    <row r="290" spans="2:19" x14ac:dyDescent="0.15">
      <c r="R290" s="91"/>
      <c r="S290" s="91"/>
    </row>
    <row r="291" spans="2:19" x14ac:dyDescent="0.15">
      <c r="R291" s="91"/>
      <c r="S291" s="91"/>
    </row>
    <row r="292" spans="2:19" x14ac:dyDescent="0.15">
      <c r="R292" s="91"/>
      <c r="S292" s="91"/>
    </row>
    <row r="293" spans="2:19" x14ac:dyDescent="0.15">
      <c r="R293" s="91"/>
      <c r="S293" s="91"/>
    </row>
    <row r="294" spans="2:19" x14ac:dyDescent="0.15">
      <c r="R294" s="91"/>
      <c r="S294" s="91"/>
    </row>
    <row r="295" spans="2:19" x14ac:dyDescent="0.15">
      <c r="R295" s="91"/>
      <c r="S295" s="91"/>
    </row>
    <row r="296" spans="2:19" x14ac:dyDescent="0.15">
      <c r="R296" s="91"/>
      <c r="S296" s="91"/>
    </row>
    <row r="297" spans="2:19" x14ac:dyDescent="0.15">
      <c r="R297" s="91"/>
      <c r="S297" s="91"/>
    </row>
    <row r="298" spans="2:19" x14ac:dyDescent="0.15">
      <c r="R298" s="91"/>
      <c r="S298" s="91"/>
    </row>
    <row r="299" spans="2:19" x14ac:dyDescent="0.15">
      <c r="R299" s="91"/>
      <c r="S299" s="91"/>
    </row>
    <row r="300" spans="2:19" x14ac:dyDescent="0.15">
      <c r="R300" s="91"/>
      <c r="S300" s="91"/>
    </row>
    <row r="301" spans="2:19" x14ac:dyDescent="0.15">
      <c r="R301" s="91"/>
      <c r="S301" s="91"/>
    </row>
    <row r="302" spans="2:19" x14ac:dyDescent="0.15">
      <c r="B302" s="76"/>
      <c r="C302" s="73"/>
      <c r="J302" s="49"/>
      <c r="K302" s="49"/>
      <c r="L302" s="49"/>
      <c r="R302" s="91"/>
      <c r="S302" s="91"/>
    </row>
    <row r="303" spans="2:19" x14ac:dyDescent="0.15">
      <c r="B303" s="76"/>
      <c r="C303" s="73"/>
      <c r="J303" s="49"/>
      <c r="K303" s="49"/>
      <c r="L303" s="49"/>
      <c r="R303" s="91"/>
      <c r="S303" s="91"/>
    </row>
    <row r="304" spans="2:19" x14ac:dyDescent="0.15">
      <c r="B304" s="76"/>
      <c r="C304" s="73"/>
      <c r="J304" s="49"/>
      <c r="K304" s="49"/>
      <c r="L304" s="49"/>
      <c r="R304" s="91"/>
      <c r="S304" s="91"/>
    </row>
    <row r="305" spans="2:19" x14ac:dyDescent="0.15">
      <c r="B305" s="76"/>
      <c r="C305" s="73"/>
      <c r="J305" s="49"/>
      <c r="K305" s="49"/>
      <c r="L305" s="49"/>
      <c r="R305" s="91"/>
      <c r="S305" s="91"/>
    </row>
    <row r="306" spans="2:19" x14ac:dyDescent="0.15">
      <c r="B306" s="76"/>
      <c r="C306" s="73"/>
      <c r="J306" s="49"/>
      <c r="K306" s="49"/>
      <c r="L306" s="49"/>
      <c r="R306" s="91"/>
      <c r="S306" s="91"/>
    </row>
    <row r="307" spans="2:19" x14ac:dyDescent="0.15">
      <c r="B307" s="76"/>
      <c r="C307" s="73"/>
      <c r="J307" s="49"/>
      <c r="K307" s="49"/>
      <c r="L307" s="49"/>
      <c r="R307" s="91"/>
      <c r="S307" s="91"/>
    </row>
    <row r="308" spans="2:19" x14ac:dyDescent="0.15">
      <c r="B308" s="76"/>
      <c r="C308" s="73"/>
      <c r="J308" s="49"/>
      <c r="K308" s="49"/>
      <c r="L308" s="49"/>
      <c r="R308" s="91"/>
      <c r="S308" s="91"/>
    </row>
    <row r="309" spans="2:19" x14ac:dyDescent="0.15">
      <c r="B309" s="76"/>
      <c r="C309" s="73"/>
      <c r="J309" s="49"/>
      <c r="K309" s="49"/>
      <c r="L309" s="49"/>
      <c r="R309" s="91"/>
      <c r="S309" s="91"/>
    </row>
    <row r="310" spans="2:19" x14ac:dyDescent="0.15">
      <c r="B310" s="76"/>
      <c r="C310" s="73"/>
      <c r="J310" s="49"/>
      <c r="K310" s="49"/>
      <c r="L310" s="49"/>
      <c r="R310" s="91"/>
      <c r="S310" s="91"/>
    </row>
    <row r="311" spans="2:19" x14ac:dyDescent="0.15">
      <c r="B311" s="76"/>
      <c r="C311" s="73"/>
      <c r="J311" s="49"/>
      <c r="K311" s="49"/>
      <c r="L311" s="49"/>
      <c r="R311" s="91"/>
      <c r="S311" s="91"/>
    </row>
    <row r="312" spans="2:19" x14ac:dyDescent="0.15">
      <c r="B312" s="76"/>
      <c r="C312" s="73"/>
      <c r="J312" s="49"/>
      <c r="K312" s="49"/>
      <c r="L312" s="49"/>
      <c r="R312" s="91"/>
      <c r="S312" s="91"/>
    </row>
    <row r="313" spans="2:19" x14ac:dyDescent="0.15">
      <c r="B313" s="76"/>
      <c r="C313" s="73"/>
      <c r="J313" s="49"/>
      <c r="K313" s="49"/>
      <c r="L313" s="49"/>
      <c r="R313" s="91"/>
      <c r="S313" s="91"/>
    </row>
    <row r="314" spans="2:19" x14ac:dyDescent="0.15">
      <c r="B314" s="76"/>
      <c r="C314" s="73"/>
      <c r="J314" s="49"/>
      <c r="K314" s="49"/>
      <c r="L314" s="49"/>
      <c r="R314" s="91"/>
      <c r="S314" s="91"/>
    </row>
    <row r="315" spans="2:19" x14ac:dyDescent="0.15">
      <c r="B315" s="76"/>
      <c r="C315" s="73"/>
      <c r="J315" s="49"/>
      <c r="K315" s="49"/>
      <c r="L315" s="49"/>
      <c r="R315" s="91"/>
      <c r="S315" s="91"/>
    </row>
    <row r="316" spans="2:19" x14ac:dyDescent="0.15">
      <c r="B316" s="76"/>
      <c r="C316" s="73"/>
      <c r="J316" s="49"/>
      <c r="K316" s="49"/>
      <c r="L316" s="49"/>
      <c r="R316" s="91"/>
      <c r="S316" s="91"/>
    </row>
    <row r="317" spans="2:19" x14ac:dyDescent="0.15">
      <c r="B317" s="76"/>
      <c r="C317" s="73"/>
      <c r="J317" s="49"/>
      <c r="K317" s="49"/>
      <c r="L317" s="49"/>
      <c r="R317" s="91"/>
      <c r="S317" s="91"/>
    </row>
    <row r="318" spans="2:19" x14ac:dyDescent="0.15">
      <c r="B318" s="76"/>
      <c r="C318" s="73"/>
      <c r="J318" s="49"/>
      <c r="K318" s="49"/>
      <c r="L318" s="49"/>
      <c r="R318" s="91"/>
      <c r="S318" s="91"/>
    </row>
    <row r="319" spans="2:19" x14ac:dyDescent="0.15">
      <c r="B319" s="76"/>
      <c r="C319" s="73"/>
      <c r="J319" s="49"/>
      <c r="K319" s="49"/>
      <c r="L319" s="49"/>
      <c r="R319" s="91"/>
      <c r="S319" s="91"/>
    </row>
    <row r="320" spans="2:19" x14ac:dyDescent="0.15">
      <c r="B320" s="76"/>
      <c r="C320" s="73"/>
      <c r="J320" s="49"/>
      <c r="K320" s="49"/>
      <c r="L320" s="49"/>
      <c r="R320" s="91"/>
      <c r="S320" s="91"/>
    </row>
    <row r="321" spans="2:19" x14ac:dyDescent="0.15">
      <c r="B321" s="76"/>
      <c r="C321" s="73"/>
      <c r="J321" s="49"/>
      <c r="K321" s="49"/>
      <c r="L321" s="49"/>
      <c r="R321" s="91"/>
      <c r="S321" s="91"/>
    </row>
    <row r="322" spans="2:19" x14ac:dyDescent="0.15">
      <c r="B322" s="76"/>
      <c r="C322" s="73"/>
      <c r="J322" s="49"/>
      <c r="K322" s="49"/>
      <c r="L322" s="49"/>
      <c r="R322" s="91"/>
      <c r="S322" s="91"/>
    </row>
    <row r="323" spans="2:19" x14ac:dyDescent="0.15">
      <c r="B323" s="76"/>
      <c r="C323" s="73"/>
      <c r="J323" s="49"/>
      <c r="K323" s="49"/>
      <c r="L323" s="49"/>
      <c r="R323" s="91"/>
      <c r="S323" s="91"/>
    </row>
    <row r="324" spans="2:19" x14ac:dyDescent="0.15">
      <c r="B324" s="76"/>
      <c r="C324" s="73"/>
      <c r="J324" s="49"/>
      <c r="K324" s="49"/>
      <c r="L324" s="49"/>
      <c r="R324" s="91"/>
      <c r="S324" s="91"/>
    </row>
    <row r="325" spans="2:19" x14ac:dyDescent="0.15">
      <c r="B325" s="76"/>
      <c r="C325" s="73"/>
      <c r="J325" s="49"/>
      <c r="K325" s="49"/>
      <c r="L325" s="49"/>
      <c r="R325" s="91"/>
      <c r="S325" s="91"/>
    </row>
    <row r="326" spans="2:19" x14ac:dyDescent="0.15">
      <c r="B326" s="76"/>
      <c r="C326" s="73"/>
      <c r="J326" s="49"/>
      <c r="K326" s="49"/>
      <c r="L326" s="49"/>
      <c r="R326" s="91"/>
      <c r="S326" s="91"/>
    </row>
    <row r="327" spans="2:19" x14ac:dyDescent="0.15">
      <c r="B327" s="76"/>
      <c r="C327" s="73"/>
      <c r="J327" s="49"/>
      <c r="K327" s="49"/>
      <c r="L327" s="49"/>
      <c r="R327" s="91"/>
      <c r="S327" s="91"/>
    </row>
    <row r="328" spans="2:19" x14ac:dyDescent="0.15">
      <c r="B328" s="76"/>
      <c r="C328" s="73"/>
      <c r="J328" s="49"/>
      <c r="K328" s="49"/>
      <c r="L328" s="49"/>
      <c r="R328" s="91"/>
      <c r="S328" s="91"/>
    </row>
    <row r="329" spans="2:19" x14ac:dyDescent="0.15">
      <c r="B329" s="76"/>
      <c r="C329" s="73"/>
      <c r="J329" s="49"/>
      <c r="K329" s="49"/>
      <c r="L329" s="49"/>
      <c r="R329" s="91"/>
      <c r="S329" s="91"/>
    </row>
    <row r="330" spans="2:19" x14ac:dyDescent="0.15">
      <c r="B330" s="76"/>
      <c r="C330" s="73"/>
      <c r="J330" s="49"/>
      <c r="K330" s="49"/>
      <c r="L330" s="49"/>
      <c r="R330" s="91"/>
      <c r="S330" s="91"/>
    </row>
    <row r="331" spans="2:19" x14ac:dyDescent="0.15">
      <c r="B331" s="76"/>
      <c r="C331" s="73"/>
      <c r="J331" s="49"/>
      <c r="K331" s="49"/>
      <c r="L331" s="49"/>
      <c r="R331" s="91"/>
      <c r="S331" s="91"/>
    </row>
    <row r="332" spans="2:19" x14ac:dyDescent="0.15">
      <c r="B332" s="76"/>
      <c r="C332" s="73"/>
      <c r="J332" s="49"/>
      <c r="K332" s="49"/>
      <c r="L332" s="49"/>
      <c r="R332" s="91"/>
      <c r="S332" s="91"/>
    </row>
    <row r="333" spans="2:19" x14ac:dyDescent="0.15">
      <c r="B333" s="76"/>
      <c r="C333" s="73"/>
      <c r="J333" s="49"/>
      <c r="K333" s="49"/>
      <c r="L333" s="49"/>
      <c r="R333" s="91"/>
      <c r="S333" s="91"/>
    </row>
    <row r="334" spans="2:19" x14ac:dyDescent="0.15">
      <c r="B334" s="76"/>
      <c r="C334" s="73"/>
      <c r="J334" s="49"/>
      <c r="K334" s="49"/>
      <c r="L334" s="49"/>
      <c r="R334" s="91"/>
      <c r="S334" s="91"/>
    </row>
    <row r="335" spans="2:19" x14ac:dyDescent="0.15">
      <c r="B335" s="76"/>
      <c r="C335" s="73"/>
      <c r="J335" s="49"/>
      <c r="K335" s="49"/>
      <c r="L335" s="49"/>
      <c r="R335" s="91"/>
      <c r="S335" s="91"/>
    </row>
    <row r="336" spans="2:19" x14ac:dyDescent="0.15">
      <c r="B336" s="76"/>
      <c r="C336" s="73"/>
      <c r="J336" s="49"/>
      <c r="K336" s="49"/>
      <c r="L336" s="49"/>
      <c r="R336" s="91"/>
      <c r="S336" s="91"/>
    </row>
    <row r="337" spans="2:19" x14ac:dyDescent="0.15">
      <c r="B337" s="76"/>
      <c r="C337" s="73"/>
      <c r="J337" s="49"/>
      <c r="K337" s="49"/>
      <c r="L337" s="49"/>
      <c r="R337" s="91"/>
      <c r="S337" s="91"/>
    </row>
    <row r="338" spans="2:19" x14ac:dyDescent="0.15">
      <c r="B338" s="76"/>
      <c r="C338" s="73"/>
      <c r="J338" s="49"/>
      <c r="K338" s="49"/>
      <c r="L338" s="49"/>
      <c r="R338" s="91"/>
      <c r="S338" s="91"/>
    </row>
    <row r="339" spans="2:19" x14ac:dyDescent="0.15">
      <c r="B339" s="76"/>
      <c r="C339" s="73"/>
      <c r="J339" s="49"/>
      <c r="K339" s="49"/>
      <c r="L339" s="49"/>
      <c r="R339" s="91"/>
      <c r="S339" s="91"/>
    </row>
    <row r="340" spans="2:19" x14ac:dyDescent="0.15">
      <c r="B340" s="76"/>
      <c r="C340" s="73"/>
      <c r="J340" s="49"/>
      <c r="K340" s="49"/>
      <c r="L340" s="49"/>
      <c r="R340" s="91"/>
      <c r="S340" s="91"/>
    </row>
    <row r="341" spans="2:19" x14ac:dyDescent="0.15">
      <c r="B341" s="76"/>
      <c r="C341" s="73"/>
      <c r="J341" s="49"/>
      <c r="K341" s="49"/>
      <c r="L341" s="49"/>
      <c r="R341" s="91"/>
      <c r="S341" s="91"/>
    </row>
    <row r="342" spans="2:19" x14ac:dyDescent="0.15">
      <c r="B342" s="76"/>
      <c r="C342" s="73"/>
      <c r="J342" s="49"/>
      <c r="K342" s="49"/>
      <c r="L342" s="49"/>
      <c r="R342" s="91"/>
      <c r="S342" s="91"/>
    </row>
    <row r="343" spans="2:19" x14ac:dyDescent="0.15">
      <c r="B343" s="76"/>
      <c r="C343" s="73"/>
      <c r="J343" s="49"/>
      <c r="K343" s="49"/>
      <c r="L343" s="49"/>
      <c r="R343" s="91"/>
      <c r="S343" s="91"/>
    </row>
    <row r="344" spans="2:19" x14ac:dyDescent="0.15">
      <c r="B344" s="76"/>
      <c r="C344" s="73"/>
      <c r="J344" s="49"/>
      <c r="K344" s="49"/>
      <c r="L344" s="49"/>
      <c r="R344" s="91"/>
      <c r="S344" s="91"/>
    </row>
    <row r="345" spans="2:19" x14ac:dyDescent="0.15">
      <c r="B345" s="76"/>
      <c r="C345" s="73"/>
      <c r="J345" s="49"/>
      <c r="K345" s="49"/>
      <c r="L345" s="49"/>
      <c r="R345" s="91"/>
      <c r="S345" s="91"/>
    </row>
    <row r="346" spans="2:19" x14ac:dyDescent="0.15">
      <c r="B346" s="76"/>
      <c r="C346" s="73"/>
      <c r="J346" s="49"/>
      <c r="K346" s="49"/>
      <c r="L346" s="49"/>
      <c r="R346" s="91"/>
      <c r="S346" s="91"/>
    </row>
    <row r="347" spans="2:19" x14ac:dyDescent="0.15">
      <c r="B347" s="76"/>
      <c r="C347" s="73"/>
      <c r="J347" s="49"/>
      <c r="K347" s="49"/>
      <c r="L347" s="49"/>
      <c r="R347" s="91"/>
      <c r="S347" s="91"/>
    </row>
    <row r="348" spans="2:19" x14ac:dyDescent="0.15">
      <c r="B348" s="76"/>
      <c r="C348" s="73"/>
      <c r="J348" s="49"/>
      <c r="K348" s="49"/>
      <c r="L348" s="49"/>
      <c r="R348" s="91"/>
      <c r="S348" s="91"/>
    </row>
    <row r="349" spans="2:19" x14ac:dyDescent="0.15">
      <c r="B349" s="76"/>
      <c r="C349" s="73"/>
      <c r="J349" s="49"/>
      <c r="K349" s="49"/>
      <c r="L349" s="49"/>
      <c r="R349" s="91"/>
      <c r="S349" s="91"/>
    </row>
    <row r="350" spans="2:19" x14ac:dyDescent="0.15">
      <c r="B350" s="76"/>
      <c r="C350" s="73"/>
      <c r="J350" s="49"/>
      <c r="K350" s="49"/>
      <c r="L350" s="49"/>
      <c r="R350" s="91"/>
      <c r="S350" s="91"/>
    </row>
    <row r="351" spans="2:19" x14ac:dyDescent="0.15">
      <c r="B351" s="76"/>
      <c r="C351" s="73"/>
      <c r="J351" s="49"/>
      <c r="K351" s="49"/>
      <c r="L351" s="49"/>
      <c r="R351" s="91"/>
      <c r="S351" s="91"/>
    </row>
    <row r="352" spans="2:19" x14ac:dyDescent="0.15">
      <c r="B352" s="76"/>
      <c r="C352" s="73"/>
      <c r="J352" s="49"/>
      <c r="K352" s="49"/>
      <c r="L352" s="49"/>
      <c r="R352" s="91"/>
      <c r="S352" s="91"/>
    </row>
    <row r="353" spans="2:19" x14ac:dyDescent="0.15">
      <c r="B353" s="76"/>
      <c r="C353" s="73"/>
      <c r="J353" s="49"/>
      <c r="K353" s="49"/>
      <c r="L353" s="49"/>
      <c r="R353" s="91"/>
      <c r="S353" s="91"/>
    </row>
    <row r="354" spans="2:19" x14ac:dyDescent="0.15">
      <c r="B354" s="76"/>
      <c r="C354" s="73"/>
      <c r="J354" s="49"/>
      <c r="K354" s="49"/>
      <c r="L354" s="49"/>
      <c r="R354" s="91"/>
      <c r="S354" s="91"/>
    </row>
    <row r="355" spans="2:19" x14ac:dyDescent="0.15">
      <c r="B355" s="76"/>
      <c r="C355" s="73"/>
      <c r="J355" s="49"/>
      <c r="K355" s="49"/>
      <c r="L355" s="49"/>
      <c r="R355" s="91"/>
      <c r="S355" s="91"/>
    </row>
    <row r="356" spans="2:19" x14ac:dyDescent="0.15">
      <c r="B356" s="76"/>
      <c r="C356" s="73"/>
      <c r="J356" s="49"/>
      <c r="K356" s="49"/>
      <c r="L356" s="49"/>
      <c r="R356" s="91"/>
      <c r="S356" s="91"/>
    </row>
    <row r="357" spans="2:19" x14ac:dyDescent="0.15">
      <c r="B357" s="76"/>
      <c r="C357" s="73"/>
      <c r="J357" s="49"/>
      <c r="K357" s="49"/>
      <c r="L357" s="49"/>
      <c r="R357" s="91"/>
      <c r="S357" s="91"/>
    </row>
    <row r="358" spans="2:19" x14ac:dyDescent="0.15">
      <c r="B358" s="76"/>
      <c r="C358" s="73"/>
      <c r="J358" s="49"/>
      <c r="K358" s="49"/>
      <c r="L358" s="49"/>
      <c r="R358" s="91"/>
      <c r="S358" s="91"/>
    </row>
    <row r="359" spans="2:19" x14ac:dyDescent="0.15">
      <c r="B359" s="76"/>
      <c r="C359" s="73"/>
      <c r="J359" s="49"/>
      <c r="K359" s="49"/>
      <c r="L359" s="49"/>
      <c r="R359" s="91"/>
      <c r="S359" s="91"/>
    </row>
    <row r="360" spans="2:19" x14ac:dyDescent="0.15">
      <c r="B360" s="76"/>
      <c r="C360" s="73"/>
      <c r="J360" s="49"/>
      <c r="K360" s="49"/>
      <c r="L360" s="49"/>
      <c r="R360" s="91"/>
      <c r="S360" s="91"/>
    </row>
    <row r="361" spans="2:19" x14ac:dyDescent="0.15">
      <c r="B361" s="76"/>
      <c r="C361" s="73"/>
      <c r="J361" s="49"/>
      <c r="K361" s="49"/>
      <c r="L361" s="49"/>
      <c r="R361" s="91"/>
      <c r="S361" s="91"/>
    </row>
    <row r="362" spans="2:19" x14ac:dyDescent="0.15">
      <c r="B362" s="76"/>
      <c r="C362" s="73"/>
      <c r="J362" s="49"/>
      <c r="K362" s="49"/>
      <c r="L362" s="49"/>
      <c r="R362" s="91"/>
      <c r="S362" s="91"/>
    </row>
    <row r="363" spans="2:19" x14ac:dyDescent="0.15">
      <c r="B363" s="76"/>
      <c r="C363" s="73"/>
      <c r="J363" s="49"/>
      <c r="K363" s="49"/>
      <c r="L363" s="49"/>
      <c r="R363" s="91"/>
      <c r="S363" s="91"/>
    </row>
    <row r="364" spans="2:19" x14ac:dyDescent="0.15">
      <c r="B364" s="76"/>
      <c r="C364" s="73"/>
      <c r="J364" s="49"/>
      <c r="K364" s="49"/>
      <c r="L364" s="49"/>
      <c r="R364" s="91"/>
      <c r="S364" s="91"/>
    </row>
    <row r="365" spans="2:19" x14ac:dyDescent="0.15">
      <c r="B365" s="76"/>
      <c r="C365" s="73"/>
      <c r="J365" s="49"/>
      <c r="K365" s="49"/>
      <c r="L365" s="49"/>
      <c r="R365" s="91"/>
      <c r="S365" s="91"/>
    </row>
    <row r="366" spans="2:19" x14ac:dyDescent="0.15">
      <c r="B366" s="76"/>
      <c r="C366" s="73"/>
      <c r="J366" s="49"/>
      <c r="K366" s="49"/>
      <c r="L366" s="49"/>
    </row>
    <row r="367" spans="2:19" x14ac:dyDescent="0.15">
      <c r="B367" s="76"/>
      <c r="C367" s="73"/>
      <c r="J367" s="49"/>
      <c r="K367" s="49"/>
      <c r="L367" s="49"/>
    </row>
    <row r="368" spans="2:19" x14ac:dyDescent="0.15">
      <c r="B368" s="76"/>
      <c r="C368" s="73"/>
      <c r="J368" s="49"/>
      <c r="K368" s="49"/>
      <c r="L368" s="49"/>
    </row>
    <row r="369" spans="2:12" x14ac:dyDescent="0.15">
      <c r="B369" s="76"/>
      <c r="C369" s="73"/>
      <c r="J369" s="49"/>
      <c r="K369" s="49"/>
      <c r="L369" s="49"/>
    </row>
    <row r="370" spans="2:12" x14ac:dyDescent="0.15">
      <c r="B370" s="76"/>
      <c r="C370" s="73"/>
      <c r="J370" s="49"/>
      <c r="K370" s="49"/>
      <c r="L370" s="49"/>
    </row>
    <row r="371" spans="2:12" x14ac:dyDescent="0.15">
      <c r="B371" s="76"/>
      <c r="C371" s="73"/>
      <c r="J371" s="49"/>
      <c r="K371" s="49"/>
      <c r="L371" s="49"/>
    </row>
    <row r="372" spans="2:12" x14ac:dyDescent="0.15">
      <c r="B372" s="76"/>
      <c r="C372" s="73"/>
      <c r="J372" s="49"/>
      <c r="K372" s="49"/>
      <c r="L372" s="49"/>
    </row>
    <row r="373" spans="2:12" x14ac:dyDescent="0.15">
      <c r="B373" s="76"/>
      <c r="C373" s="73"/>
      <c r="J373" s="49"/>
      <c r="K373" s="49"/>
      <c r="L373" s="49"/>
    </row>
    <row r="374" spans="2:12" x14ac:dyDescent="0.15">
      <c r="B374" s="76"/>
      <c r="C374" s="73"/>
      <c r="J374" s="49"/>
      <c r="K374" s="49"/>
      <c r="L374" s="49"/>
    </row>
    <row r="375" spans="2:12" x14ac:dyDescent="0.15">
      <c r="B375" s="76"/>
      <c r="C375" s="73"/>
      <c r="J375" s="49"/>
      <c r="K375" s="49"/>
      <c r="L375" s="49"/>
    </row>
    <row r="376" spans="2:12" x14ac:dyDescent="0.15">
      <c r="B376" s="76"/>
      <c r="C376" s="73"/>
      <c r="J376" s="49"/>
      <c r="K376" s="49"/>
      <c r="L376" s="49"/>
    </row>
    <row r="377" spans="2:12" x14ac:dyDescent="0.15">
      <c r="B377" s="76"/>
      <c r="C377" s="73"/>
      <c r="J377" s="49"/>
      <c r="K377" s="49"/>
      <c r="L377" s="49"/>
    </row>
    <row r="378" spans="2:12" x14ac:dyDescent="0.15">
      <c r="B378" s="76"/>
      <c r="C378" s="73"/>
      <c r="J378" s="49"/>
      <c r="K378" s="49"/>
      <c r="L378" s="49"/>
    </row>
    <row r="379" spans="2:12" x14ac:dyDescent="0.15">
      <c r="B379" s="76"/>
      <c r="C379" s="73"/>
      <c r="J379" s="49"/>
      <c r="K379" s="49"/>
      <c r="L379" s="49"/>
    </row>
    <row r="380" spans="2:12" x14ac:dyDescent="0.15">
      <c r="B380" s="76"/>
      <c r="C380" s="73"/>
      <c r="J380" s="49"/>
      <c r="K380" s="49"/>
      <c r="L380" s="49"/>
    </row>
    <row r="381" spans="2:12" x14ac:dyDescent="0.15">
      <c r="B381" s="76"/>
      <c r="C381" s="73"/>
      <c r="J381" s="49"/>
      <c r="K381" s="49"/>
      <c r="L381" s="49"/>
    </row>
    <row r="382" spans="2:12" x14ac:dyDescent="0.15">
      <c r="B382" s="76"/>
      <c r="C382" s="73"/>
      <c r="J382" s="49"/>
      <c r="K382" s="49"/>
      <c r="L382" s="49"/>
    </row>
    <row r="383" spans="2:12" x14ac:dyDescent="0.15">
      <c r="B383" s="76"/>
      <c r="C383" s="73"/>
      <c r="J383" s="49"/>
      <c r="K383" s="49"/>
      <c r="L383" s="49"/>
    </row>
    <row r="384" spans="2:12" x14ac:dyDescent="0.15">
      <c r="B384" s="76"/>
      <c r="C384" s="73"/>
      <c r="J384" s="49"/>
      <c r="K384" s="49"/>
      <c r="L384" s="49"/>
    </row>
    <row r="385" spans="2:12" x14ac:dyDescent="0.15">
      <c r="B385" s="76"/>
      <c r="C385" s="73"/>
      <c r="J385" s="49"/>
      <c r="K385" s="49"/>
      <c r="L385" s="49"/>
    </row>
    <row r="386" spans="2:12" x14ac:dyDescent="0.15">
      <c r="B386" s="76"/>
      <c r="C386" s="73"/>
      <c r="J386" s="49"/>
      <c r="K386" s="49"/>
      <c r="L386" s="49"/>
    </row>
    <row r="387" spans="2:12" x14ac:dyDescent="0.15">
      <c r="B387" s="76"/>
      <c r="C387" s="73"/>
      <c r="J387" s="49"/>
      <c r="K387" s="49"/>
      <c r="L387" s="49"/>
    </row>
    <row r="388" spans="2:12" x14ac:dyDescent="0.15">
      <c r="B388" s="76"/>
      <c r="C388" s="73"/>
      <c r="J388" s="49"/>
      <c r="K388" s="49"/>
      <c r="L388" s="49"/>
    </row>
    <row r="389" spans="2:12" x14ac:dyDescent="0.15">
      <c r="B389" s="76"/>
      <c r="C389" s="73"/>
      <c r="J389" s="49"/>
      <c r="K389" s="49"/>
      <c r="L389" s="49"/>
    </row>
    <row r="390" spans="2:12" x14ac:dyDescent="0.15">
      <c r="B390" s="76"/>
      <c r="C390" s="73"/>
      <c r="J390" s="49"/>
      <c r="K390" s="49"/>
      <c r="L390" s="49"/>
    </row>
    <row r="391" spans="2:12" x14ac:dyDescent="0.15">
      <c r="B391" s="76"/>
      <c r="C391" s="73"/>
      <c r="J391" s="49"/>
      <c r="K391" s="49"/>
      <c r="L391" s="49"/>
    </row>
    <row r="392" spans="2:12" x14ac:dyDescent="0.15">
      <c r="B392" s="76"/>
      <c r="C392" s="73"/>
      <c r="J392" s="49"/>
      <c r="K392" s="49"/>
      <c r="L392" s="49"/>
    </row>
    <row r="393" spans="2:12" x14ac:dyDescent="0.15">
      <c r="B393" s="76"/>
      <c r="C393" s="73"/>
      <c r="J393" s="49"/>
      <c r="K393" s="49"/>
      <c r="L393" s="49"/>
    </row>
    <row r="394" spans="2:12" x14ac:dyDescent="0.15">
      <c r="B394" s="76"/>
      <c r="C394" s="73"/>
      <c r="J394" s="49"/>
      <c r="K394" s="49"/>
      <c r="L394" s="49"/>
    </row>
    <row r="395" spans="2:12" x14ac:dyDescent="0.15">
      <c r="B395" s="76"/>
      <c r="C395" s="73"/>
      <c r="J395" s="49"/>
      <c r="K395" s="49"/>
      <c r="L395" s="49"/>
    </row>
    <row r="396" spans="2:12" x14ac:dyDescent="0.15">
      <c r="B396" s="76"/>
      <c r="C396" s="73"/>
      <c r="J396" s="49"/>
      <c r="K396" s="49"/>
      <c r="L396" s="49"/>
    </row>
    <row r="397" spans="2:12" x14ac:dyDescent="0.15">
      <c r="B397" s="76"/>
      <c r="C397" s="73"/>
      <c r="J397" s="49"/>
      <c r="K397" s="49"/>
      <c r="L397" s="49"/>
    </row>
    <row r="398" spans="2:12" x14ac:dyDescent="0.15">
      <c r="B398" s="76"/>
      <c r="C398" s="73"/>
      <c r="J398" s="49"/>
      <c r="K398" s="49"/>
      <c r="L398" s="49"/>
    </row>
    <row r="399" spans="2:12" x14ac:dyDescent="0.15">
      <c r="B399" s="76"/>
      <c r="C399" s="73"/>
      <c r="J399" s="49"/>
      <c r="K399" s="49"/>
      <c r="L399" s="49"/>
    </row>
    <row r="400" spans="2:12" x14ac:dyDescent="0.15">
      <c r="B400" s="76"/>
      <c r="C400" s="73"/>
      <c r="J400" s="49"/>
      <c r="K400" s="49"/>
      <c r="L400" s="49"/>
    </row>
    <row r="401" spans="2:12" x14ac:dyDescent="0.15">
      <c r="B401" s="76"/>
      <c r="C401" s="73"/>
      <c r="J401" s="49"/>
      <c r="K401" s="49"/>
      <c r="L401" s="49"/>
    </row>
    <row r="402" spans="2:12" x14ac:dyDescent="0.15">
      <c r="B402" s="76"/>
      <c r="C402" s="73"/>
      <c r="J402" s="49"/>
      <c r="K402" s="49"/>
      <c r="L402" s="49"/>
    </row>
    <row r="403" spans="2:12" x14ac:dyDescent="0.15">
      <c r="B403" s="76"/>
      <c r="C403" s="73"/>
      <c r="J403" s="49"/>
      <c r="K403" s="49"/>
      <c r="L403" s="49"/>
    </row>
    <row r="404" spans="2:12" x14ac:dyDescent="0.15">
      <c r="B404" s="76"/>
      <c r="C404" s="73"/>
      <c r="J404" s="49"/>
      <c r="K404" s="49"/>
      <c r="L404" s="49"/>
    </row>
    <row r="405" spans="2:12" x14ac:dyDescent="0.15">
      <c r="B405" s="76"/>
      <c r="C405" s="73"/>
      <c r="J405" s="49"/>
      <c r="K405" s="49"/>
      <c r="L405" s="49"/>
    </row>
    <row r="406" spans="2:12" x14ac:dyDescent="0.15">
      <c r="B406" s="76"/>
      <c r="C406" s="73"/>
      <c r="J406" s="49"/>
      <c r="K406" s="49"/>
      <c r="L406" s="49"/>
    </row>
    <row r="407" spans="2:12" x14ac:dyDescent="0.15">
      <c r="B407" s="76"/>
      <c r="C407" s="73"/>
      <c r="J407" s="49"/>
      <c r="K407" s="49"/>
      <c r="L407" s="49"/>
    </row>
    <row r="408" spans="2:12" x14ac:dyDescent="0.15">
      <c r="B408" s="76"/>
      <c r="C408" s="73"/>
      <c r="J408" s="49"/>
      <c r="K408" s="49"/>
      <c r="L408" s="49"/>
    </row>
    <row r="409" spans="2:12" x14ac:dyDescent="0.15">
      <c r="B409" s="76"/>
      <c r="C409" s="73"/>
      <c r="J409" s="49"/>
      <c r="K409" s="49"/>
      <c r="L409" s="49"/>
    </row>
    <row r="410" spans="2:12" x14ac:dyDescent="0.15">
      <c r="B410" s="76"/>
      <c r="C410" s="73"/>
      <c r="J410" s="49"/>
      <c r="K410" s="49"/>
      <c r="L410" s="49"/>
    </row>
    <row r="411" spans="2:12" x14ac:dyDescent="0.15">
      <c r="B411" s="76"/>
      <c r="C411" s="73"/>
      <c r="J411" s="49"/>
      <c r="K411" s="49"/>
      <c r="L411" s="49"/>
    </row>
    <row r="412" spans="2:12" x14ac:dyDescent="0.15">
      <c r="B412" s="76"/>
      <c r="C412" s="73"/>
      <c r="J412" s="49"/>
      <c r="K412" s="49"/>
      <c r="L412" s="49"/>
    </row>
    <row r="413" spans="2:12" x14ac:dyDescent="0.15">
      <c r="B413" s="76"/>
      <c r="C413" s="73"/>
      <c r="J413" s="49"/>
      <c r="K413" s="49"/>
      <c r="L413" s="49"/>
    </row>
    <row r="414" spans="2:12" x14ac:dyDescent="0.15">
      <c r="B414" s="76"/>
      <c r="C414" s="73"/>
      <c r="J414" s="49"/>
      <c r="K414" s="49"/>
      <c r="L414" s="49"/>
    </row>
    <row r="415" spans="2:12" x14ac:dyDescent="0.15">
      <c r="B415" s="76"/>
      <c r="C415" s="73"/>
      <c r="J415" s="49"/>
      <c r="K415" s="49"/>
      <c r="L415" s="49"/>
    </row>
    <row r="416" spans="2:12" x14ac:dyDescent="0.15">
      <c r="B416" s="76"/>
      <c r="C416" s="73"/>
      <c r="J416" s="49"/>
      <c r="K416" s="49"/>
      <c r="L416" s="49"/>
    </row>
    <row r="417" spans="2:12" x14ac:dyDescent="0.15">
      <c r="B417" s="76"/>
      <c r="C417" s="73"/>
      <c r="J417" s="49"/>
      <c r="K417" s="49"/>
      <c r="L417" s="49"/>
    </row>
    <row r="418" spans="2:12" x14ac:dyDescent="0.15">
      <c r="B418" s="76"/>
      <c r="C418" s="73"/>
      <c r="J418" s="49"/>
      <c r="K418" s="49"/>
      <c r="L418" s="49"/>
    </row>
    <row r="419" spans="2:12" x14ac:dyDescent="0.15">
      <c r="B419" s="76"/>
      <c r="C419" s="73"/>
      <c r="J419" s="49"/>
      <c r="K419" s="49"/>
      <c r="L419" s="49"/>
    </row>
    <row r="420" spans="2:12" x14ac:dyDescent="0.15">
      <c r="B420" s="76"/>
      <c r="C420" s="73"/>
      <c r="J420" s="49"/>
      <c r="K420" s="49"/>
      <c r="L420" s="49"/>
    </row>
    <row r="421" spans="2:12" x14ac:dyDescent="0.15">
      <c r="B421" s="76"/>
      <c r="C421" s="73"/>
      <c r="J421" s="49"/>
      <c r="K421" s="49"/>
      <c r="L421" s="49"/>
    </row>
    <row r="422" spans="2:12" x14ac:dyDescent="0.15">
      <c r="B422" s="76"/>
      <c r="C422" s="73"/>
      <c r="J422" s="49"/>
      <c r="K422" s="49"/>
      <c r="L422" s="49"/>
    </row>
    <row r="423" spans="2:12" x14ac:dyDescent="0.15">
      <c r="B423" s="76"/>
      <c r="C423" s="73"/>
      <c r="J423" s="49"/>
      <c r="K423" s="49"/>
      <c r="L423" s="49"/>
    </row>
    <row r="424" spans="2:12" x14ac:dyDescent="0.15">
      <c r="B424" s="76"/>
      <c r="C424" s="73"/>
      <c r="J424" s="49"/>
      <c r="K424" s="49"/>
      <c r="L424" s="49"/>
    </row>
    <row r="425" spans="2:12" x14ac:dyDescent="0.15">
      <c r="B425" s="76"/>
      <c r="C425" s="73"/>
      <c r="J425" s="49"/>
      <c r="K425" s="49"/>
      <c r="L425" s="49"/>
    </row>
  </sheetData>
  <mergeCells count="91">
    <mergeCell ref="D54:E54"/>
    <mergeCell ref="D1:P1"/>
    <mergeCell ref="D2:P2"/>
    <mergeCell ref="D3:P3"/>
    <mergeCell ref="A6:B6"/>
    <mergeCell ref="C6:K6"/>
    <mergeCell ref="L6:O6"/>
    <mergeCell ref="P6:S6"/>
    <mergeCell ref="Q3:R3"/>
    <mergeCell ref="D57:P57"/>
    <mergeCell ref="D58:P58"/>
    <mergeCell ref="Q58:R58"/>
    <mergeCell ref="A5:B5"/>
    <mergeCell ref="C61:I61"/>
    <mergeCell ref="P61:S61"/>
    <mergeCell ref="L5:O5"/>
    <mergeCell ref="P5:S5"/>
    <mergeCell ref="D52:E52"/>
    <mergeCell ref="C60:I60"/>
    <mergeCell ref="B53:C53"/>
    <mergeCell ref="D53:E53"/>
    <mergeCell ref="D56:P56"/>
    <mergeCell ref="B54:C54"/>
    <mergeCell ref="C5:K5"/>
    <mergeCell ref="B52:C52"/>
    <mergeCell ref="P60:S60"/>
    <mergeCell ref="D67:E67"/>
    <mergeCell ref="G67:I67"/>
    <mergeCell ref="J67:K67"/>
    <mergeCell ref="L67:P67"/>
    <mergeCell ref="D66:E66"/>
    <mergeCell ref="G66:I66"/>
    <mergeCell ref="J66:K66"/>
    <mergeCell ref="L66:P66"/>
    <mergeCell ref="D68:E68"/>
    <mergeCell ref="G68:I68"/>
    <mergeCell ref="J68:K68"/>
    <mergeCell ref="L68:P68"/>
    <mergeCell ref="D69:E69"/>
    <mergeCell ref="G69:I69"/>
    <mergeCell ref="J69:K69"/>
    <mergeCell ref="L69:P69"/>
    <mergeCell ref="D70:E70"/>
    <mergeCell ref="G70:I70"/>
    <mergeCell ref="J70:K70"/>
    <mergeCell ref="L70:P70"/>
    <mergeCell ref="D71:E71"/>
    <mergeCell ref="G71:I71"/>
    <mergeCell ref="J71:K71"/>
    <mergeCell ref="L71:P71"/>
    <mergeCell ref="D72:E72"/>
    <mergeCell ref="G72:I72"/>
    <mergeCell ref="J72:K72"/>
    <mergeCell ref="L72:P72"/>
    <mergeCell ref="D73:E73"/>
    <mergeCell ref="G73:I73"/>
    <mergeCell ref="J73:K73"/>
    <mergeCell ref="L73:P73"/>
    <mergeCell ref="L74:P74"/>
    <mergeCell ref="D75:E75"/>
    <mergeCell ref="G75:I75"/>
    <mergeCell ref="J75:K75"/>
    <mergeCell ref="L75:P75"/>
    <mergeCell ref="D81:E81"/>
    <mergeCell ref="G81:I81"/>
    <mergeCell ref="J81:K81"/>
    <mergeCell ref="L81:P81"/>
    <mergeCell ref="D78:E78"/>
    <mergeCell ref="G78:I78"/>
    <mergeCell ref="J78:K78"/>
    <mergeCell ref="L78:P78"/>
    <mergeCell ref="D79:E79"/>
    <mergeCell ref="G79:I79"/>
    <mergeCell ref="J79:K79"/>
    <mergeCell ref="L79:P79"/>
    <mergeCell ref="AE1:AF1"/>
    <mergeCell ref="D80:E80"/>
    <mergeCell ref="G80:I80"/>
    <mergeCell ref="J80:K80"/>
    <mergeCell ref="L80:P80"/>
    <mergeCell ref="D76:E76"/>
    <mergeCell ref="G76:I76"/>
    <mergeCell ref="J76:K76"/>
    <mergeCell ref="L76:P76"/>
    <mergeCell ref="D77:E77"/>
    <mergeCell ref="G77:I77"/>
    <mergeCell ref="J77:K77"/>
    <mergeCell ref="L77:P77"/>
    <mergeCell ref="D74:E74"/>
    <mergeCell ref="G74:I74"/>
    <mergeCell ref="J74:K74"/>
  </mergeCells>
  <phoneticPr fontId="21" type="noConversion"/>
  <conditionalFormatting sqref="B33:B36 B44:B46 B48:B50">
    <cfRule type="expression" dxfId="14" priority="22">
      <formula>$G33=1</formula>
    </cfRule>
  </conditionalFormatting>
  <conditionalFormatting sqref="I33:I36 I44:I48">
    <cfRule type="expression" dxfId="13" priority="114">
      <formula>$N33=1</formula>
    </cfRule>
  </conditionalFormatting>
  <conditionalFormatting sqref="B38">
    <cfRule type="expression" priority="14" stopIfTrue="1">
      <formula>$C$38=""</formula>
    </cfRule>
    <cfRule type="expression" dxfId="12" priority="15">
      <formula>ISERROR(MATCH($C$38,$AH$34:$AH$82,0))</formula>
    </cfRule>
  </conditionalFormatting>
  <conditionalFormatting sqref="A44:E46 A11:E17 A33:E36 A22:E28 A38:E39 A37 C37:E37 A48:E50 A47 C47:E47">
    <cfRule type="expression" dxfId="11" priority="122" stopIfTrue="1">
      <formula>$E11=$B$166</formula>
    </cfRule>
  </conditionalFormatting>
  <conditionalFormatting sqref="H33:L36 H44:L50 H11:L17 H27:L28 H26 J26:L26 H22:L25 H38:L39 H37 J37:L37">
    <cfRule type="expression" dxfId="10" priority="126" stopIfTrue="1">
      <formula>$L11=$B$166</formula>
    </cfRule>
  </conditionalFormatting>
  <conditionalFormatting sqref="A17">
    <cfRule type="cellIs" dxfId="9" priority="11" operator="equal">
      <formula>0</formula>
    </cfRule>
  </conditionalFormatting>
  <conditionalFormatting sqref="Q93:Q164">
    <cfRule type="expression" dxfId="8" priority="10">
      <formula>(ISNUMBER(MATCH($C93,$P$11:$P$22,0)))</formula>
    </cfRule>
  </conditionalFormatting>
  <conditionalFormatting sqref="I25">
    <cfRule type="expression" priority="8" stopIfTrue="1">
      <formula>($J$25="")</formula>
    </cfRule>
    <cfRule type="expression" dxfId="7" priority="9">
      <formula>ISERROR(MATCH($J$25,$AJ$34:$AJ$242,0))</formula>
    </cfRule>
  </conditionalFormatting>
  <conditionalFormatting sqref="I26">
    <cfRule type="expression" dxfId="6" priority="7" stopIfTrue="1">
      <formula>$L26=$B$166</formula>
    </cfRule>
  </conditionalFormatting>
  <conditionalFormatting sqref="B37">
    <cfRule type="expression" dxfId="5" priority="5">
      <formula>$G37=1</formula>
    </cfRule>
  </conditionalFormatting>
  <conditionalFormatting sqref="B37">
    <cfRule type="expression" dxfId="4" priority="6" stopIfTrue="1">
      <formula>$E37=$B$166</formula>
    </cfRule>
  </conditionalFormatting>
  <conditionalFormatting sqref="I37">
    <cfRule type="expression" dxfId="3" priority="3">
      <formula>$G37=1</formula>
    </cfRule>
  </conditionalFormatting>
  <conditionalFormatting sqref="I37">
    <cfRule type="expression" dxfId="2" priority="4" stopIfTrue="1">
      <formula>$E37=$B$166</formula>
    </cfRule>
  </conditionalFormatting>
  <conditionalFormatting sqref="B47">
    <cfRule type="expression" dxfId="1" priority="1">
      <formula>$G47=1</formula>
    </cfRule>
  </conditionalFormatting>
  <conditionalFormatting sqref="B47">
    <cfRule type="expression" dxfId="0" priority="2" stopIfTrue="1">
      <formula>$E47=$B$166</formula>
    </cfRule>
  </conditionalFormatting>
  <dataValidations count="5">
    <dataValidation type="list" allowBlank="1" showInputMessage="1" showErrorMessage="1" sqref="C67:C81" xr:uid="{00000000-0002-0000-0000-000000000000}">
      <formula1>"Fall,Spring,Summer"</formula1>
    </dataValidation>
    <dataValidation type="list" allowBlank="1" showInputMessage="1" showErrorMessage="1" sqref="D68:E70" xr:uid="{00000000-0002-0000-0000-000001000000}">
      <formula1>"1997,1998,1999,2000,2001,2002,2003,2004,2005,2006,2007,2007,2008"</formula1>
    </dataValidation>
    <dataValidation type="list" allowBlank="1" showInputMessage="1" showErrorMessage="1" sqref="D67:E67 D71:E81" xr:uid="{00000000-0002-0000-0000-000002000000}">
      <formula1>"1997,1998,1999,2000,2001,2002,2003,2004,2005,2006,2007,2007,2008,2009,2010,2011,2012,2013,2014,2015"</formula1>
    </dataValidation>
    <dataValidation type="list" allowBlank="1" showInputMessage="1" showErrorMessage="1" sqref="A22:A28 H33:H39 H22:H28 A44:A50 A33:A39 A11:A17 H11:H17 H44:H50" xr:uid="{00000000-0002-0000-0000-000003000000}">
      <formula1>"0,1,2,3,4,5,6"</formula1>
    </dataValidation>
    <dataValidation type="list" allowBlank="1" showInputMessage="1" showErrorMessage="1" sqref="Q43" xr:uid="{00000000-0002-0000-0000-000004000000}">
      <formula1>$AH$1:$BB$1</formula1>
    </dataValidation>
  </dataValidations>
  <pageMargins left="0" right="0" top="0.75" bottom="0.5" header="0.5" footer="0.5"/>
  <pageSetup scale="98" orientation="portrait" r:id="rId1"/>
  <headerFooter alignWithMargins="0"/>
  <rowBreaks count="1" manualBreakCount="1">
    <brk id="5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SE</vt:lpstr>
      <vt:lpstr>'New SE'!_ftn1</vt:lpstr>
      <vt:lpstr>'New SE'!_ftnref1</vt:lpstr>
    </vt:vector>
  </TitlesOfParts>
  <Company>The George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Microsoft Office User</cp:lastModifiedBy>
  <cp:lastPrinted>2019-04-16T14:53:19Z</cp:lastPrinted>
  <dcterms:created xsi:type="dcterms:W3CDTF">2011-05-12T18:03:26Z</dcterms:created>
  <dcterms:modified xsi:type="dcterms:W3CDTF">2022-03-08T18:58:27Z</dcterms:modified>
</cp:coreProperties>
</file>